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bookViews>
    <workbookView xWindow="0" yWindow="0" windowWidth="28800" windowHeight="12390" activeTab="2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4" i="9" l="1"/>
  <c r="I34" i="9"/>
  <c r="H34" i="9"/>
  <c r="G34" i="9"/>
  <c r="F34" i="9"/>
  <c r="E34" i="9"/>
  <c r="D34" i="9"/>
  <c r="C34" i="9"/>
  <c r="B34" i="9"/>
  <c r="A34" i="9"/>
  <c r="J33" i="9"/>
  <c r="I33" i="9"/>
  <c r="H33" i="9"/>
  <c r="G33" i="9"/>
  <c r="F33" i="9"/>
  <c r="E33" i="9"/>
  <c r="D33" i="9"/>
  <c r="C33" i="9"/>
  <c r="B33" i="9"/>
  <c r="A33" i="9"/>
  <c r="J32" i="9"/>
  <c r="I32" i="9"/>
  <c r="H32" i="9"/>
  <c r="G32" i="9"/>
  <c r="F32" i="9"/>
  <c r="E32" i="9"/>
  <c r="D32" i="9"/>
  <c r="C32" i="9"/>
  <c r="B32" i="9"/>
  <c r="A32" i="9"/>
  <c r="J31" i="9"/>
  <c r="I31" i="9"/>
  <c r="H31" i="9"/>
  <c r="G31" i="9"/>
  <c r="F31" i="9"/>
  <c r="E31" i="9"/>
  <c r="D31" i="9"/>
  <c r="C31" i="9"/>
  <c r="B31" i="9"/>
  <c r="A31" i="9"/>
  <c r="J30" i="9"/>
  <c r="I30" i="9"/>
  <c r="H30" i="9"/>
  <c r="G30" i="9"/>
  <c r="F30" i="9"/>
  <c r="E30" i="9"/>
  <c r="D30" i="9"/>
  <c r="C30" i="9"/>
  <c r="B30" i="9"/>
  <c r="A30" i="9"/>
  <c r="J29" i="9"/>
  <c r="I29" i="9"/>
  <c r="H29" i="9"/>
  <c r="G29" i="9"/>
  <c r="F29" i="9"/>
  <c r="E29" i="9"/>
  <c r="D29" i="9"/>
  <c r="C29" i="9"/>
  <c r="B29" i="9"/>
  <c r="A29" i="9"/>
  <c r="J28" i="9"/>
  <c r="I28" i="9"/>
  <c r="H28" i="9"/>
  <c r="G28" i="9"/>
  <c r="F28" i="9"/>
  <c r="E28" i="9"/>
  <c r="D28" i="9"/>
  <c r="C28" i="9"/>
  <c r="B28" i="9"/>
  <c r="A28" i="9"/>
  <c r="J27" i="9"/>
  <c r="I27" i="9"/>
  <c r="H27" i="9"/>
  <c r="G27" i="9"/>
  <c r="F27" i="9"/>
  <c r="E27" i="9"/>
  <c r="D27" i="9"/>
  <c r="C27" i="9"/>
  <c r="B27" i="9"/>
  <c r="A27" i="9"/>
  <c r="J26" i="9"/>
  <c r="I26" i="9"/>
  <c r="H26" i="9"/>
  <c r="G26" i="9"/>
  <c r="F26" i="9"/>
  <c r="E26" i="9"/>
  <c r="D26" i="9"/>
  <c r="C26" i="9"/>
  <c r="B26" i="9"/>
  <c r="A26" i="9"/>
  <c r="J25" i="9"/>
  <c r="I25" i="9"/>
  <c r="H25" i="9"/>
  <c r="G25" i="9"/>
  <c r="F25" i="9"/>
  <c r="E25" i="9"/>
  <c r="D25" i="9"/>
  <c r="C25" i="9"/>
  <c r="B25" i="9"/>
  <c r="A25" i="9"/>
  <c r="J24" i="9"/>
  <c r="I24" i="9"/>
  <c r="H24" i="9"/>
  <c r="G24" i="9"/>
  <c r="F24" i="9"/>
  <c r="E24" i="9"/>
  <c r="D24" i="9"/>
  <c r="C24" i="9"/>
  <c r="B24" i="9"/>
  <c r="A24" i="9"/>
  <c r="J23" i="9"/>
  <c r="I23" i="9"/>
  <c r="H23" i="9"/>
  <c r="G23" i="9"/>
  <c r="F23" i="9"/>
  <c r="E23" i="9"/>
  <c r="D23" i="9"/>
  <c r="C23" i="9"/>
  <c r="B23" i="9"/>
  <c r="A23" i="9"/>
  <c r="J22" i="9"/>
  <c r="I22" i="9"/>
  <c r="H22" i="9"/>
  <c r="G22" i="9"/>
  <c r="F22" i="9"/>
  <c r="E22" i="9"/>
  <c r="D22" i="9"/>
  <c r="C22" i="9"/>
  <c r="B22" i="9"/>
  <c r="A22" i="9"/>
  <c r="J21" i="9"/>
  <c r="I21" i="9"/>
  <c r="H21" i="9"/>
  <c r="G21" i="9"/>
  <c r="F21" i="9"/>
  <c r="E21" i="9"/>
  <c r="D21" i="9"/>
  <c r="C21" i="9"/>
  <c r="B21" i="9"/>
  <c r="A21" i="9"/>
  <c r="J20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7" i="9"/>
  <c r="I7" i="9"/>
  <c r="H7" i="9"/>
  <c r="G7" i="9"/>
  <c r="F7" i="9"/>
  <c r="E7" i="9"/>
  <c r="D7" i="9"/>
  <c r="C7" i="9"/>
  <c r="B7" i="9"/>
  <c r="A7" i="9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H34" i="10"/>
  <c r="G34" i="10"/>
  <c r="F34" i="10"/>
  <c r="E34" i="10"/>
  <c r="D34" i="10"/>
  <c r="C34" i="10"/>
  <c r="B34" i="10"/>
  <c r="A34" i="10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J34" i="4"/>
  <c r="I34" i="4"/>
  <c r="H34" i="4"/>
  <c r="G34" i="4"/>
  <c r="F34" i="4"/>
  <c r="E34" i="4"/>
  <c r="D34" i="4"/>
  <c r="C34" i="4"/>
  <c r="B34" i="4"/>
  <c r="A34" i="4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I27" i="4"/>
  <c r="H27" i="4"/>
  <c r="G27" i="4"/>
  <c r="F27" i="4"/>
  <c r="E27" i="4"/>
  <c r="D27" i="4"/>
  <c r="C27" i="4"/>
  <c r="B27" i="4"/>
  <c r="A27" i="4"/>
  <c r="J26" i="4"/>
  <c r="I26" i="4"/>
  <c r="H26" i="4"/>
  <c r="G26" i="4"/>
  <c r="F26" i="4"/>
  <c r="E26" i="4"/>
  <c r="D26" i="4"/>
  <c r="C26" i="4"/>
  <c r="B26" i="4"/>
  <c r="A26" i="4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J9" i="4"/>
  <c r="I9" i="4"/>
  <c r="H9" i="4"/>
  <c r="G9" i="4"/>
  <c r="F9" i="4"/>
  <c r="E9" i="4"/>
  <c r="D9" i="4"/>
  <c r="C9" i="4"/>
  <c r="B9" i="4"/>
  <c r="A9" i="4"/>
  <c r="J8" i="4"/>
  <c r="I8" i="4"/>
  <c r="H8" i="4"/>
  <c r="G8" i="4"/>
  <c r="F8" i="4"/>
  <c r="E8" i="4"/>
  <c r="D8" i="4"/>
  <c r="C8" i="4"/>
  <c r="B8" i="4"/>
  <c r="A8" i="4"/>
  <c r="J7" i="4"/>
  <c r="I7" i="4"/>
  <c r="H7" i="4"/>
  <c r="G7" i="4"/>
  <c r="F7" i="4"/>
  <c r="E7" i="4"/>
  <c r="D7" i="4"/>
  <c r="C7" i="4"/>
  <c r="B7" i="4"/>
  <c r="A7" i="4"/>
  <c r="J6" i="4"/>
  <c r="I6" i="4"/>
  <c r="H6" i="4"/>
  <c r="G6" i="4"/>
  <c r="F6" i="4"/>
  <c r="E6" i="4"/>
  <c r="D6" i="4"/>
  <c r="C6" i="4"/>
  <c r="B6" i="4"/>
  <c r="A6" i="4"/>
  <c r="J5" i="4"/>
  <c r="I5" i="4"/>
  <c r="H5" i="4"/>
  <c r="G5" i="4"/>
  <c r="F5" i="4"/>
  <c r="E5" i="4"/>
  <c r="D5" i="4"/>
  <c r="C5" i="4"/>
  <c r="B5" i="4"/>
  <c r="A5" i="4"/>
  <c r="J4" i="4"/>
  <c r="I4" i="4"/>
  <c r="H4" i="4"/>
  <c r="G4" i="4"/>
  <c r="F4" i="4"/>
  <c r="E4" i="4"/>
  <c r="D4" i="4"/>
  <c r="C4" i="4"/>
  <c r="B4" i="4"/>
  <c r="A4" i="4"/>
  <c r="I36" i="4" l="1"/>
  <c r="I35" i="4"/>
  <c r="I37" i="4" l="1"/>
  <c r="I35" i="9"/>
  <c r="I36" i="9"/>
  <c r="I37" i="9"/>
  <c r="K13" i="10"/>
  <c r="K14" i="10"/>
  <c r="K27" i="10"/>
  <c r="K34" i="10"/>
  <c r="L34" i="10"/>
  <c r="M34" i="10"/>
  <c r="N34" i="10"/>
  <c r="O34" i="10"/>
  <c r="P34" i="10"/>
  <c r="Q3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6" i="10" l="1"/>
  <c r="C36" i="10"/>
  <c r="B36" i="10"/>
  <c r="H36" i="10"/>
  <c r="G36" i="10"/>
  <c r="D36" i="10"/>
  <c r="E36" i="10"/>
  <c r="C37" i="4"/>
  <c r="C35" i="4"/>
  <c r="G37" i="4"/>
  <c r="G35" i="4"/>
  <c r="D35" i="4"/>
  <c r="D37" i="4"/>
  <c r="H35" i="4"/>
  <c r="H37" i="4"/>
  <c r="C36" i="4"/>
  <c r="G36" i="4"/>
  <c r="E35" i="4"/>
  <c r="E37" i="4"/>
  <c r="D36" i="4"/>
  <c r="H36" i="4"/>
  <c r="E36" i="9"/>
  <c r="B37" i="4"/>
  <c r="B35" i="4"/>
  <c r="F37" i="4"/>
  <c r="F35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7" i="10"/>
  <c r="D35" i="10"/>
  <c r="E35" i="10"/>
  <c r="E37" i="10"/>
  <c r="H37" i="10"/>
  <c r="H35" i="10"/>
  <c r="B35" i="10"/>
  <c r="B37" i="10"/>
  <c r="F35" i="10"/>
  <c r="F37" i="10"/>
  <c r="C35" i="10"/>
  <c r="C37" i="10"/>
  <c r="G35" i="10"/>
  <c r="G37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<sst xmlns="http://schemas.openxmlformats.org/spreadsheetml/2006/main" count="50" uniqueCount="27">
  <si>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</si>
  <si>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</si>
  <si>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</si>
  <si>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</si>
  <si>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</si>
  <si>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</si>
  <si>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</si>
  <si>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</si>
  <si>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</si>
  <si>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</si>
  <si>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</si>
  <si>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</si>
  <si>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</si>
  <si>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</si>
  <si>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</si>
  <si>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</si>
  <si>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</si>
  <si>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</si>
  <si>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</si>
  <si>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</si>
  <si>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</si>
  <si>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</si>
  <si>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</si>
  <si>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</si>
  <si>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(3월) - 유입수</t>
    <phoneticPr fontId="1" type="noConversion"/>
  </si>
  <si>
    <t>■ 황간공공하수처리시설 월보 (3월) - 총인유입수</t>
    <phoneticPr fontId="1" type="noConversion"/>
  </si>
  <si>
    <t>■ 황간공공하수처리시설 월보 (3월) - 방류수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</si>
</sst>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17" xfId="0" applyBorder="1">
      <alignment vertical="center"/>
    </xf>
    <xf numFmtId="0" fontId="0" fillId="0" borderId="26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7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8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7" xfId="0" applyNumberFormat="1" applyBorder="1" applyAlignment="1">
      <alignment horizontal="center" vertical="center"/>
    </xf>
    <xf numFmtId="182" fontId="0" fillId="0" borderId="28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styles" Target="styles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30&#51068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31&#51068;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31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4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3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3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44256</v>
          </cell>
        </row>
        <row r="26">
          <cell r="D26">
            <v>12.2</v>
          </cell>
          <cell r="E26">
            <v>7.4749999999999996</v>
          </cell>
        </row>
        <row r="27">
          <cell r="E27">
            <v>0</v>
          </cell>
        </row>
        <row r="28">
          <cell r="D28">
            <v>12.1</v>
          </cell>
          <cell r="E28">
            <v>6.7050000000000001</v>
          </cell>
        </row>
      </sheetData>
      <sheetData sheetId="1">
        <row r="9">
          <cell r="C9">
            <v>146.99999999999997</v>
          </cell>
          <cell r="D9">
            <v>131.78159899366</v>
          </cell>
          <cell r="E9">
            <v>150</v>
          </cell>
          <cell r="F9">
            <v>48.6036</v>
          </cell>
          <cell r="G9">
            <v>3.83568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1.1500000000000004</v>
          </cell>
          <cell r="D11">
            <v>6.5431167503100003</v>
          </cell>
          <cell r="E11">
            <v>2</v>
          </cell>
          <cell r="F11">
            <v>9.3040800000000008</v>
          </cell>
          <cell r="G11">
            <v>8.9328000000000005E-2</v>
          </cell>
          <cell r="H11">
            <v>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618</v>
          </cell>
        </row>
        <row r="13">
          <cell r="G13">
            <v>690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44261</v>
          </cell>
        </row>
        <row r="26">
          <cell r="D26">
            <v>12.45</v>
          </cell>
          <cell r="E26">
            <v>7.3849999999999998</v>
          </cell>
        </row>
        <row r="27">
          <cell r="E27">
            <v>0</v>
          </cell>
        </row>
        <row r="28">
          <cell r="D28">
            <v>12.45</v>
          </cell>
          <cell r="E28">
            <v>6.6850000000000005</v>
          </cell>
        </row>
      </sheetData>
      <sheetData sheetId="1">
        <row r="9">
          <cell r="C9">
            <v>147.29999999999998</v>
          </cell>
          <cell r="D9">
            <v>46.564615899860001</v>
          </cell>
          <cell r="E9">
            <v>143.33333333333368</v>
          </cell>
          <cell r="F9">
            <v>48.771599999999999</v>
          </cell>
          <cell r="G9">
            <v>4.3543199999999995</v>
          </cell>
          <cell r="H9">
            <v>160000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1.1400000000000006</v>
          </cell>
          <cell r="D11">
            <v>6.2548813248900004</v>
          </cell>
          <cell r="E11">
            <v>2</v>
          </cell>
          <cell r="F11">
            <v>8.3469999999999995</v>
          </cell>
          <cell r="G11">
            <v>8.1599999999999978E-2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564</v>
          </cell>
        </row>
        <row r="13">
          <cell r="G13">
            <v>554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44262</v>
          </cell>
        </row>
        <row r="26">
          <cell r="D26">
            <v>12.55</v>
          </cell>
          <cell r="E26">
            <v>7.415</v>
          </cell>
        </row>
        <row r="27">
          <cell r="E27">
            <v>0</v>
          </cell>
        </row>
        <row r="28">
          <cell r="D28">
            <v>12.55</v>
          </cell>
          <cell r="E28">
            <v>6.7050000000000001</v>
          </cell>
        </row>
      </sheetData>
      <sheetData sheetId="1">
        <row r="9">
          <cell r="C9">
            <v>143.10000000000002</v>
          </cell>
          <cell r="D9">
            <v>50.366381138240001</v>
          </cell>
          <cell r="E9">
            <v>166.66666666666666</v>
          </cell>
          <cell r="F9">
            <v>51.923999999999999</v>
          </cell>
          <cell r="G9">
            <v>5.4741599999999995</v>
          </cell>
          <cell r="H9">
            <v>160000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1.1100000000000012</v>
          </cell>
          <cell r="D11">
            <v>6.0417346300899997</v>
          </cell>
          <cell r="E11">
            <v>2</v>
          </cell>
          <cell r="F11">
            <v>8.7129999999999992</v>
          </cell>
          <cell r="G11">
            <v>0.10248000000000002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579</v>
          </cell>
        </row>
        <row r="13">
          <cell r="G13">
            <v>559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44263</v>
          </cell>
        </row>
        <row r="26">
          <cell r="D26">
            <v>12.55</v>
          </cell>
          <cell r="E26">
            <v>7.375</v>
          </cell>
        </row>
        <row r="27">
          <cell r="E27">
            <v>6.7249999999999996</v>
          </cell>
        </row>
        <row r="28">
          <cell r="D28">
            <v>12.5</v>
          </cell>
          <cell r="E28">
            <v>6.6749999999999998</v>
          </cell>
        </row>
      </sheetData>
      <sheetData sheetId="1">
        <row r="9">
          <cell r="C9">
            <v>144.6</v>
          </cell>
          <cell r="D9">
            <v>39.457513233779999</v>
          </cell>
          <cell r="E9">
            <v>150</v>
          </cell>
          <cell r="F9">
            <v>47.089199999999998</v>
          </cell>
          <cell r="G9">
            <v>4.2861600000000006</v>
          </cell>
          <cell r="H9">
            <v>190000</v>
          </cell>
        </row>
        <row r="10">
          <cell r="C10">
            <v>6.84</v>
          </cell>
          <cell r="D10">
            <v>15.16924040262</v>
          </cell>
          <cell r="E10">
            <v>10.800000000000011</v>
          </cell>
          <cell r="F10">
            <v>8.7115200000000002</v>
          </cell>
          <cell r="G10">
            <v>0.42297600000000002</v>
          </cell>
          <cell r="H10">
            <v>630</v>
          </cell>
        </row>
        <row r="11">
          <cell r="C11">
            <v>1.25</v>
          </cell>
          <cell r="D11">
            <v>5.7259047362600004</v>
          </cell>
          <cell r="E11">
            <v>3.1999999999999886</v>
          </cell>
          <cell r="F11">
            <v>8.1984000000000012</v>
          </cell>
          <cell r="G11">
            <v>6.2064000000000001E-2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617</v>
          </cell>
        </row>
        <row r="13">
          <cell r="G13">
            <v>582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44264</v>
          </cell>
        </row>
        <row r="26">
          <cell r="D26">
            <v>12.55</v>
          </cell>
          <cell r="E26">
            <v>7.4050000000000002</v>
          </cell>
        </row>
        <row r="27">
          <cell r="E27">
            <v>6.7350000000000003</v>
          </cell>
        </row>
        <row r="28">
          <cell r="D28">
            <v>12.55</v>
          </cell>
          <cell r="E28">
            <v>6.665</v>
          </cell>
        </row>
      </sheetData>
      <sheetData sheetId="1">
        <row r="9">
          <cell r="C9">
            <v>146.99999999999997</v>
          </cell>
          <cell r="D9">
            <v>75.250045237219993</v>
          </cell>
          <cell r="E9">
            <v>150</v>
          </cell>
          <cell r="F9">
            <v>45.557999999999993</v>
          </cell>
          <cell r="G9">
            <v>4.0862400000000001</v>
          </cell>
          <cell r="H9">
            <v>160000</v>
          </cell>
        </row>
        <row r="10">
          <cell r="C10">
            <v>9.3150000000000013</v>
          </cell>
          <cell r="D10">
            <v>10.0962900553167</v>
          </cell>
          <cell r="E10">
            <v>12.400000000000034</v>
          </cell>
          <cell r="F10">
            <v>10.335359999999998</v>
          </cell>
          <cell r="G10">
            <v>0.13199999999999998</v>
          </cell>
          <cell r="H10">
            <v>610</v>
          </cell>
        </row>
        <row r="11">
          <cell r="C11">
            <v>1.120000000000001</v>
          </cell>
          <cell r="D11">
            <v>7.9676348506666699</v>
          </cell>
          <cell r="E11">
            <v>2.6000000000000227</v>
          </cell>
          <cell r="F11">
            <v>9.4003200000000007</v>
          </cell>
          <cell r="G11">
            <v>7.0511999999999991E-2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563</v>
          </cell>
        </row>
        <row r="13">
          <cell r="G13">
            <v>628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44265</v>
          </cell>
        </row>
        <row r="26">
          <cell r="D26">
            <v>12.75</v>
          </cell>
          <cell r="E26">
            <v>7.375</v>
          </cell>
        </row>
        <row r="27">
          <cell r="E27">
            <v>6.74</v>
          </cell>
        </row>
        <row r="28">
          <cell r="D28">
            <v>12.75</v>
          </cell>
          <cell r="E28">
            <v>6.62</v>
          </cell>
        </row>
      </sheetData>
      <sheetData sheetId="1">
        <row r="9">
          <cell r="C9">
            <v>146.1</v>
          </cell>
          <cell r="D9">
            <v>103.8166020988</v>
          </cell>
          <cell r="E9">
            <v>156.66666666666677</v>
          </cell>
          <cell r="F9">
            <v>52.2072</v>
          </cell>
          <cell r="G9">
            <v>4.3780800000000006</v>
          </cell>
          <cell r="H9">
            <v>160000</v>
          </cell>
        </row>
        <row r="10">
          <cell r="C10">
            <v>6.9300000000000015</v>
          </cell>
          <cell r="D10">
            <v>7.7317228884166704</v>
          </cell>
          <cell r="E10">
            <v>11.599999999999966</v>
          </cell>
          <cell r="F10">
            <v>10.18416</v>
          </cell>
          <cell r="G10">
            <v>0.112272</v>
          </cell>
          <cell r="H10">
            <v>610</v>
          </cell>
        </row>
        <row r="11">
          <cell r="C11">
            <v>1.1099999999999994</v>
          </cell>
          <cell r="D11">
            <v>7.9961558371966701</v>
          </cell>
          <cell r="E11">
            <v>2.4000000000000052</v>
          </cell>
          <cell r="F11">
            <v>9.1977599999999988</v>
          </cell>
          <cell r="G11">
            <v>7.8287999999999996E-2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632</v>
          </cell>
        </row>
        <row r="13">
          <cell r="G13">
            <v>582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612</v>
          </cell>
        </row>
        <row r="13">
          <cell r="G13">
            <v>584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44266</v>
          </cell>
        </row>
        <row r="26">
          <cell r="D26">
            <v>13</v>
          </cell>
          <cell r="E26">
            <v>7.4050000000000002</v>
          </cell>
        </row>
        <row r="27">
          <cell r="E27">
            <v>6.7750000000000004</v>
          </cell>
        </row>
        <row r="28">
          <cell r="D28">
            <v>12.95</v>
          </cell>
          <cell r="E28">
            <v>6.67</v>
          </cell>
        </row>
      </sheetData>
      <sheetData sheetId="1">
        <row r="9">
          <cell r="C9">
            <v>146.99999999999997</v>
          </cell>
          <cell r="D9">
            <v>103.8120522246</v>
          </cell>
          <cell r="E9">
            <v>160.00000000000037</v>
          </cell>
          <cell r="F9">
            <v>43.441199999999995</v>
          </cell>
          <cell r="G9">
            <v>4.47288</v>
          </cell>
          <cell r="H9">
            <v>150000</v>
          </cell>
        </row>
        <row r="10">
          <cell r="C10">
            <v>7.5150000000000006</v>
          </cell>
          <cell r="D10">
            <v>23.150785798485</v>
          </cell>
          <cell r="E10">
            <v>14</v>
          </cell>
          <cell r="F10">
            <v>10.246080000000001</v>
          </cell>
          <cell r="G10">
            <v>0.15897599999999998</v>
          </cell>
          <cell r="H10">
            <v>540</v>
          </cell>
        </row>
        <row r="11">
          <cell r="C11">
            <v>1.2699999999999996</v>
          </cell>
          <cell r="D11">
            <v>5.5324256955950002</v>
          </cell>
          <cell r="E11">
            <v>2.6000000000000227</v>
          </cell>
          <cell r="F11">
            <v>10.18224</v>
          </cell>
          <cell r="G11">
            <v>9.1967999999999994E-2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591</v>
          </cell>
        </row>
        <row r="13">
          <cell r="G13">
            <v>589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44267</v>
          </cell>
        </row>
        <row r="26">
          <cell r="D26">
            <v>13.05</v>
          </cell>
          <cell r="E26">
            <v>7.4050000000000002</v>
          </cell>
        </row>
        <row r="27">
          <cell r="E27">
            <v>6.8449999999999998</v>
          </cell>
        </row>
        <row r="28">
          <cell r="D28">
            <v>13.1</v>
          </cell>
          <cell r="E28">
            <v>6.6550000000000002</v>
          </cell>
        </row>
      </sheetData>
      <sheetData sheetId="1">
        <row r="9">
          <cell r="C9">
            <v>150.60000000000002</v>
          </cell>
          <cell r="D9">
            <v>71.355559243499997</v>
          </cell>
          <cell r="E9">
            <v>163.33333333333306</v>
          </cell>
          <cell r="F9">
            <v>50.001599999999996</v>
          </cell>
          <cell r="G9">
            <v>5.1564000000000005</v>
          </cell>
          <cell r="H9">
            <v>180000</v>
          </cell>
        </row>
        <row r="10">
          <cell r="C10">
            <v>7.3949999999999996</v>
          </cell>
          <cell r="D10">
            <v>0</v>
          </cell>
          <cell r="E10">
            <v>13.199999999999989</v>
          </cell>
          <cell r="F10">
            <v>9.0429599999999972</v>
          </cell>
          <cell r="G10">
            <v>0.16391999999999998</v>
          </cell>
          <cell r="H10">
            <v>810</v>
          </cell>
        </row>
        <row r="11">
          <cell r="C11">
            <v>1.25</v>
          </cell>
          <cell r="D11">
            <v>6.3897974459000002</v>
          </cell>
          <cell r="E11">
            <v>3</v>
          </cell>
          <cell r="F11">
            <v>8.8363199999999988</v>
          </cell>
          <cell r="G11">
            <v>8.2799999999999999E-2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786</v>
          </cell>
        </row>
        <row r="13">
          <cell r="G13">
            <v>793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44268</v>
          </cell>
        </row>
        <row r="26">
          <cell r="D26">
            <v>13.05</v>
          </cell>
          <cell r="E26">
            <v>7.4749999999999996</v>
          </cell>
        </row>
        <row r="27">
          <cell r="E27">
            <v>0</v>
          </cell>
        </row>
        <row r="28">
          <cell r="D28">
            <v>13.149999999999999</v>
          </cell>
          <cell r="E28">
            <v>6.6550000000000002</v>
          </cell>
        </row>
      </sheetData>
      <sheetData sheetId="1">
        <row r="9">
          <cell r="C9">
            <v>147.29999999999998</v>
          </cell>
          <cell r="D9">
            <v>128.71467473978001</v>
          </cell>
          <cell r="E9">
            <v>156.66666666666677</v>
          </cell>
          <cell r="F9">
            <v>44.020800000000001</v>
          </cell>
          <cell r="G9">
            <v>3.8037599999999996</v>
          </cell>
          <cell r="H9">
            <v>170000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1.2299999999999986</v>
          </cell>
          <cell r="D11">
            <v>6.3150354748749997</v>
          </cell>
          <cell r="E11">
            <v>2.1</v>
          </cell>
          <cell r="F11">
            <v>9.5198400000000003</v>
          </cell>
          <cell r="G11">
            <v>8.9183999999999999E-2</v>
          </cell>
          <cell r="H11">
            <v>0.5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690</v>
          </cell>
        </row>
        <row r="13">
          <cell r="G13">
            <v>745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44269</v>
          </cell>
        </row>
        <row r="26">
          <cell r="D26">
            <v>13.149999999999999</v>
          </cell>
          <cell r="E26">
            <v>7.375</v>
          </cell>
        </row>
        <row r="27">
          <cell r="E27">
            <v>0</v>
          </cell>
        </row>
        <row r="28">
          <cell r="D28">
            <v>13.1</v>
          </cell>
          <cell r="E28">
            <v>6.6749999999999998</v>
          </cell>
        </row>
      </sheetData>
      <sheetData sheetId="1">
        <row r="9">
          <cell r="C9">
            <v>180.3</v>
          </cell>
          <cell r="D9">
            <v>119.01003400338</v>
          </cell>
          <cell r="E9">
            <v>176.66666666666657</v>
          </cell>
          <cell r="F9">
            <v>44.126399999999997</v>
          </cell>
          <cell r="G9">
            <v>4.3276799999999991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1.3399999999999999</v>
          </cell>
          <cell r="D11">
            <v>8.0709088459549996</v>
          </cell>
          <cell r="E11">
            <v>2.2000000000000002</v>
          </cell>
          <cell r="F11">
            <v>7.6377599999999983</v>
          </cell>
          <cell r="G11">
            <v>7.4399999999999994E-2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656</v>
          </cell>
        </row>
        <row r="13">
          <cell r="G13">
            <v>649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44270</v>
          </cell>
        </row>
        <row r="26">
          <cell r="D26">
            <v>13.25</v>
          </cell>
          <cell r="E26">
            <v>7.4050000000000002</v>
          </cell>
        </row>
        <row r="27">
          <cell r="E27">
            <v>6.85</v>
          </cell>
        </row>
        <row r="28">
          <cell r="D28">
            <v>13.3</v>
          </cell>
          <cell r="E28">
            <v>6.6749999999999998</v>
          </cell>
        </row>
      </sheetData>
      <sheetData sheetId="1">
        <row r="9">
          <cell r="C9">
            <v>135.6</v>
          </cell>
          <cell r="D9">
            <v>105.06049476474</v>
          </cell>
          <cell r="E9">
            <v>176.66666666666703</v>
          </cell>
          <cell r="F9">
            <v>44.077200000000005</v>
          </cell>
          <cell r="G9">
            <v>4.39968</v>
          </cell>
          <cell r="H9">
            <v>180000</v>
          </cell>
        </row>
        <row r="10">
          <cell r="C10">
            <v>7.5149999999999988</v>
          </cell>
          <cell r="D10">
            <v>36.524297877095002</v>
          </cell>
          <cell r="E10">
            <v>10.400000000000034</v>
          </cell>
          <cell r="F10">
            <v>7.34328</v>
          </cell>
          <cell r="G10">
            <v>0.13713600000000001</v>
          </cell>
          <cell r="H10">
            <v>610</v>
          </cell>
        </row>
        <row r="11">
          <cell r="C11">
            <v>1.1999999999999993</v>
          </cell>
          <cell r="D11">
            <v>7.772893393575</v>
          </cell>
          <cell r="E11">
            <v>2.2000000000000175</v>
          </cell>
          <cell r="F11">
            <v>7.0840800000000002</v>
          </cell>
          <cell r="G11">
            <v>6.9935999999999998E-2</v>
          </cell>
          <cell r="H11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44257</v>
          </cell>
        </row>
        <row r="26">
          <cell r="D26">
            <v>12.45</v>
          </cell>
          <cell r="E26">
            <v>7.4050000000000002</v>
          </cell>
        </row>
        <row r="27">
          <cell r="E27">
            <v>6.7350000000000003</v>
          </cell>
        </row>
        <row r="28">
          <cell r="D28">
            <v>12.350000000000001</v>
          </cell>
          <cell r="E28">
            <v>6.6749999999999998</v>
          </cell>
        </row>
      </sheetData>
      <sheetData sheetId="1">
        <row r="9">
          <cell r="C9">
            <v>135</v>
          </cell>
          <cell r="D9">
            <v>37.913682415449998</v>
          </cell>
          <cell r="E9">
            <v>156.66666666666677</v>
          </cell>
          <cell r="F9">
            <v>25.6464</v>
          </cell>
          <cell r="G9">
            <v>2.1479999999999997</v>
          </cell>
          <cell r="H9">
            <v>190000</v>
          </cell>
        </row>
        <row r="10">
          <cell r="C10">
            <v>8.6700000000000017</v>
          </cell>
          <cell r="D10">
            <v>26.98768367057</v>
          </cell>
          <cell r="E10">
            <v>8.4000000000000341</v>
          </cell>
          <cell r="F10">
            <v>12.021600000000003</v>
          </cell>
          <cell r="G10">
            <v>0.12681599999999998</v>
          </cell>
          <cell r="H10">
            <v>810</v>
          </cell>
        </row>
        <row r="11">
          <cell r="C11">
            <v>1.2200000000000006</v>
          </cell>
          <cell r="D11">
            <v>5.5177850889449997</v>
          </cell>
          <cell r="E11">
            <v>3</v>
          </cell>
          <cell r="F11">
            <v>9.1540800000000004</v>
          </cell>
          <cell r="G11">
            <v>7.5119999999999992E-2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654</v>
          </cell>
        </row>
        <row r="13">
          <cell r="G13">
            <v>646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44271</v>
          </cell>
        </row>
        <row r="26">
          <cell r="D26">
            <v>13.4</v>
          </cell>
          <cell r="E26">
            <v>7.4050000000000002</v>
          </cell>
        </row>
        <row r="27">
          <cell r="E27">
            <v>6.8049999999999997</v>
          </cell>
        </row>
        <row r="28">
          <cell r="D28">
            <v>13.45</v>
          </cell>
          <cell r="E28">
            <v>6.6449999999999996</v>
          </cell>
        </row>
      </sheetData>
      <sheetData sheetId="1">
        <row r="9">
          <cell r="C9">
            <v>146.99999999999997</v>
          </cell>
          <cell r="D9">
            <v>96.83201479937</v>
          </cell>
          <cell r="E9">
            <v>160.00000000000037</v>
          </cell>
          <cell r="F9">
            <v>47.6496</v>
          </cell>
          <cell r="G9">
            <v>4.6912799999999999</v>
          </cell>
          <cell r="H9">
            <v>170000</v>
          </cell>
        </row>
        <row r="10">
          <cell r="C10">
            <v>7.6650000000000009</v>
          </cell>
          <cell r="D10">
            <v>20.714902457825001</v>
          </cell>
          <cell r="E10">
            <v>10.400000000000034</v>
          </cell>
          <cell r="F10">
            <v>8.9976000000000003</v>
          </cell>
          <cell r="G10">
            <v>0.16382399999999997</v>
          </cell>
          <cell r="H10">
            <v>610</v>
          </cell>
        </row>
        <row r="11">
          <cell r="C11">
            <v>1.1400000000000006</v>
          </cell>
          <cell r="D11">
            <v>6.2536258447333299</v>
          </cell>
          <cell r="E11">
            <v>3.1999999999999886</v>
          </cell>
          <cell r="F11">
            <v>8.2742400000000007</v>
          </cell>
          <cell r="G11">
            <v>8.006400000000001E-2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624</v>
          </cell>
        </row>
        <row r="13">
          <cell r="G13">
            <v>642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44272</v>
          </cell>
        </row>
        <row r="26">
          <cell r="D26">
            <v>13.850000000000001</v>
          </cell>
          <cell r="E26">
            <v>7.415</v>
          </cell>
        </row>
        <row r="27">
          <cell r="E27">
            <v>6.8049999999999997</v>
          </cell>
        </row>
        <row r="28">
          <cell r="D28">
            <v>13.75</v>
          </cell>
          <cell r="E28">
            <v>6.6550000000000002</v>
          </cell>
        </row>
      </sheetData>
      <sheetData sheetId="1">
        <row r="9">
          <cell r="C9">
            <v>144</v>
          </cell>
          <cell r="D9">
            <v>134.85142299927</v>
          </cell>
          <cell r="E9">
            <v>153.3333333333336</v>
          </cell>
          <cell r="F9">
            <v>53.311199999999999</v>
          </cell>
          <cell r="G9">
            <v>5.7748799999999996</v>
          </cell>
          <cell r="H9">
            <v>210000</v>
          </cell>
        </row>
        <row r="10">
          <cell r="C10">
            <v>7.1849999999999987</v>
          </cell>
          <cell r="D10">
            <v>7.9297302585000002</v>
          </cell>
          <cell r="E10">
            <v>12.400000000000034</v>
          </cell>
          <cell r="F10">
            <v>9.4492799999999999</v>
          </cell>
          <cell r="G10">
            <v>0.17059199999999999</v>
          </cell>
          <cell r="H10">
            <v>810</v>
          </cell>
        </row>
        <row r="11">
          <cell r="C11">
            <v>1.0999999999999996</v>
          </cell>
          <cell r="D11">
            <v>6.0061065483833298</v>
          </cell>
          <cell r="E11">
            <v>2.6000000000000227</v>
          </cell>
          <cell r="F11">
            <v>8.9678400000000007</v>
          </cell>
          <cell r="G11">
            <v>0.13387199999999999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593</v>
          </cell>
        </row>
        <row r="13">
          <cell r="G13">
            <v>615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44273</v>
          </cell>
        </row>
        <row r="26">
          <cell r="D26">
            <v>13.9</v>
          </cell>
          <cell r="E26">
            <v>7.3049999999999997</v>
          </cell>
        </row>
        <row r="27">
          <cell r="E27">
            <v>6.8149999999999995</v>
          </cell>
        </row>
        <row r="28">
          <cell r="D28">
            <v>13.95</v>
          </cell>
          <cell r="E28">
            <v>6.6550000000000002</v>
          </cell>
        </row>
      </sheetData>
      <sheetData sheetId="1">
        <row r="9">
          <cell r="C9">
            <v>146.99999999999997</v>
          </cell>
          <cell r="D9">
            <v>76.951187116330004</v>
          </cell>
          <cell r="E9">
            <v>160.00000000000037</v>
          </cell>
          <cell r="F9">
            <v>47.162399999999998</v>
          </cell>
          <cell r="G9">
            <v>4.6267199999999997</v>
          </cell>
          <cell r="H9">
            <v>160000</v>
          </cell>
        </row>
        <row r="10">
          <cell r="C10">
            <v>7.2750000000000004</v>
          </cell>
          <cell r="D10">
            <v>15.727972286250001</v>
          </cell>
          <cell r="E10">
            <v>10.400000000000034</v>
          </cell>
          <cell r="F10">
            <v>10.16736</v>
          </cell>
          <cell r="G10">
            <v>0.14510400000000001</v>
          </cell>
          <cell r="H10">
            <v>610</v>
          </cell>
        </row>
        <row r="11">
          <cell r="C11">
            <v>1.0499999999999989</v>
          </cell>
          <cell r="D11">
            <v>6.3859837644799997</v>
          </cell>
          <cell r="E11">
            <v>2.6000000000000227</v>
          </cell>
          <cell r="F11">
            <v>8.5996800000000011</v>
          </cell>
          <cell r="G11">
            <v>0.11332799999999998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568</v>
          </cell>
        </row>
        <row r="13">
          <cell r="G13">
            <v>567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44274</v>
          </cell>
        </row>
        <row r="26">
          <cell r="D26">
            <v>13.95</v>
          </cell>
          <cell r="E26">
            <v>7.42</v>
          </cell>
        </row>
        <row r="27">
          <cell r="E27">
            <v>6.8149999999999995</v>
          </cell>
        </row>
        <row r="28">
          <cell r="D28">
            <v>14.1</v>
          </cell>
          <cell r="E28">
            <v>6.6550000000000002</v>
          </cell>
        </row>
      </sheetData>
      <sheetData sheetId="1">
        <row r="9">
          <cell r="C9">
            <v>165.89999999999998</v>
          </cell>
          <cell r="D9">
            <v>66.731767352809996</v>
          </cell>
          <cell r="E9">
            <v>163.33333333333306</v>
          </cell>
          <cell r="F9">
            <v>43.520399999999995</v>
          </cell>
          <cell r="G9">
            <v>5.1554400000000005</v>
          </cell>
          <cell r="H9">
            <v>190000</v>
          </cell>
        </row>
        <row r="10">
          <cell r="C10">
            <v>7.4999999999999982</v>
          </cell>
          <cell r="D10">
            <v>0</v>
          </cell>
          <cell r="E10">
            <v>12.400000000000034</v>
          </cell>
          <cell r="F10">
            <v>10.801439999999999</v>
          </cell>
          <cell r="G10">
            <v>0.20121600000000003</v>
          </cell>
          <cell r="H10">
            <v>550</v>
          </cell>
        </row>
        <row r="11">
          <cell r="C11">
            <v>1.1500000000000004</v>
          </cell>
          <cell r="D11">
            <v>5.8144416575150002</v>
          </cell>
          <cell r="E11">
            <v>2.3999999999999773</v>
          </cell>
          <cell r="F11">
            <v>8.8756800000000009</v>
          </cell>
          <cell r="G11">
            <v>0.15201599999999998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563</v>
          </cell>
        </row>
        <row r="13">
          <cell r="G13">
            <v>559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44275</v>
          </cell>
        </row>
        <row r="26">
          <cell r="D26">
            <v>14.149999999999999</v>
          </cell>
          <cell r="E26">
            <v>7.4050000000000002</v>
          </cell>
        </row>
        <row r="27">
          <cell r="E27">
            <v>0</v>
          </cell>
        </row>
        <row r="28">
          <cell r="D28">
            <v>14.149999999999999</v>
          </cell>
          <cell r="E28">
            <v>6.6449999999999996</v>
          </cell>
        </row>
      </sheetData>
      <sheetData sheetId="1">
        <row r="9">
          <cell r="C9">
            <v>154.19999999999999</v>
          </cell>
          <cell r="D9">
            <v>92.169494636470006</v>
          </cell>
          <cell r="E9">
            <v>159.99999999999991</v>
          </cell>
          <cell r="F9">
            <v>44.870400000000004</v>
          </cell>
          <cell r="G9">
            <v>4.1474400000000005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1.8100000000000005</v>
          </cell>
          <cell r="D11">
            <v>5.8505437354499996</v>
          </cell>
          <cell r="E11">
            <v>2.9</v>
          </cell>
          <cell r="F11">
            <v>8.1039999999999992</v>
          </cell>
          <cell r="G11">
            <v>8.1696000000000005E-2</v>
          </cell>
          <cell r="H11">
            <v>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836</v>
          </cell>
        </row>
        <row r="13">
          <cell r="G13">
            <v>861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517</v>
          </cell>
        </row>
        <row r="13">
          <cell r="G13">
            <v>620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44276</v>
          </cell>
        </row>
        <row r="26">
          <cell r="D26">
            <v>14.25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14.2</v>
          </cell>
          <cell r="E28">
            <v>6.665</v>
          </cell>
        </row>
      </sheetData>
      <sheetData sheetId="1">
        <row r="9">
          <cell r="C9">
            <v>156.89999999999998</v>
          </cell>
          <cell r="D9">
            <v>91.971762825759996</v>
          </cell>
          <cell r="E9">
            <v>173.33333333333343</v>
          </cell>
          <cell r="F9">
            <v>44.603999999999999</v>
          </cell>
          <cell r="G9">
            <v>4.7512799999999995</v>
          </cell>
          <cell r="H9">
            <v>220000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1.907</v>
          </cell>
          <cell r="D11">
            <v>5.6526508991300002</v>
          </cell>
          <cell r="E11">
            <v>2</v>
          </cell>
          <cell r="F11">
            <v>8.6519999999999992</v>
          </cell>
          <cell r="G11">
            <v>5.5E-2</v>
          </cell>
          <cell r="H11">
            <v>4.5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541</v>
          </cell>
        </row>
        <row r="13">
          <cell r="G13">
            <v>614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44277</v>
          </cell>
        </row>
        <row r="26">
          <cell r="D26">
            <v>14.25</v>
          </cell>
          <cell r="E26">
            <v>7.3049999999999997</v>
          </cell>
        </row>
        <row r="27">
          <cell r="E27">
            <v>6.8449999999999998</v>
          </cell>
        </row>
        <row r="28">
          <cell r="D28">
            <v>14.149999999999999</v>
          </cell>
          <cell r="E28">
            <v>6.6449999999999996</v>
          </cell>
        </row>
      </sheetData>
      <sheetData sheetId="1">
        <row r="9">
          <cell r="C9">
            <v>144</v>
          </cell>
          <cell r="D9">
            <v>92.969870648880004</v>
          </cell>
          <cell r="E9">
            <v>160.00000000000037</v>
          </cell>
          <cell r="F9">
            <v>87.934799999999996</v>
          </cell>
          <cell r="G9">
            <v>8.5022400000000005</v>
          </cell>
          <cell r="H9">
            <v>160000</v>
          </cell>
        </row>
        <row r="10">
          <cell r="C10">
            <v>8.2949999999999982</v>
          </cell>
          <cell r="D10">
            <v>22.557631466025001</v>
          </cell>
          <cell r="E10">
            <v>10.800000000000011</v>
          </cell>
          <cell r="F10">
            <v>8.115359999999999</v>
          </cell>
          <cell r="G10">
            <v>0.83510400000000007</v>
          </cell>
          <cell r="H10">
            <v>810</v>
          </cell>
        </row>
        <row r="11">
          <cell r="C11">
            <v>1.0499999999999989</v>
          </cell>
          <cell r="D11">
            <v>6.0041954123350001</v>
          </cell>
          <cell r="E11">
            <v>2.4000000000000052</v>
          </cell>
          <cell r="F11">
            <v>6.6288</v>
          </cell>
          <cell r="G11">
            <v>8.9135999999999993E-2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552</v>
          </cell>
        </row>
        <row r="13">
          <cell r="G13">
            <v>518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44278</v>
          </cell>
        </row>
        <row r="26">
          <cell r="D26">
            <v>14.55</v>
          </cell>
          <cell r="E26">
            <v>7.4450000000000003</v>
          </cell>
        </row>
        <row r="27">
          <cell r="E27">
            <v>6.85</v>
          </cell>
        </row>
        <row r="28">
          <cell r="D28">
            <v>14.25</v>
          </cell>
          <cell r="E28">
            <v>6.67</v>
          </cell>
        </row>
      </sheetData>
      <sheetData sheetId="1">
        <row r="9">
          <cell r="C9">
            <v>150.60000000000002</v>
          </cell>
          <cell r="D9">
            <v>99.722311482750001</v>
          </cell>
          <cell r="E9">
            <v>159.99999999999991</v>
          </cell>
          <cell r="F9">
            <v>49.809600000000003</v>
          </cell>
          <cell r="G9">
            <v>5.34</v>
          </cell>
          <cell r="H9">
            <v>160000</v>
          </cell>
        </row>
        <row r="10">
          <cell r="C10">
            <v>8.0849999999999991</v>
          </cell>
          <cell r="D10">
            <v>23.468647480400001</v>
          </cell>
          <cell r="E10">
            <v>9.5999999999999659</v>
          </cell>
          <cell r="F10">
            <v>8.7820800000000006</v>
          </cell>
          <cell r="G10">
            <v>0.14563199999999998</v>
          </cell>
          <cell r="H10">
            <v>780</v>
          </cell>
        </row>
        <row r="11">
          <cell r="C11">
            <v>1.1899999999999995</v>
          </cell>
          <cell r="D11">
            <v>4.79363313085</v>
          </cell>
          <cell r="E11">
            <v>2.6000000000000227</v>
          </cell>
          <cell r="F11">
            <v>7.8268800000000009</v>
          </cell>
          <cell r="G11">
            <v>8.5103999999999985E-2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555</v>
          </cell>
        </row>
        <row r="13">
          <cell r="G13">
            <v>551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44279</v>
          </cell>
        </row>
        <row r="26">
          <cell r="D26">
            <v>14.350000000000001</v>
          </cell>
          <cell r="E26">
            <v>7.4050000000000002</v>
          </cell>
        </row>
        <row r="27">
          <cell r="E27">
            <v>6.8449999999999998</v>
          </cell>
        </row>
        <row r="28">
          <cell r="D28">
            <v>14.350000000000001</v>
          </cell>
          <cell r="E28">
            <v>6.6449999999999996</v>
          </cell>
        </row>
      </sheetData>
      <sheetData sheetId="1">
        <row r="9">
          <cell r="C9">
            <v>146.69999999999999</v>
          </cell>
          <cell r="D9">
            <v>101.14261237713001</v>
          </cell>
          <cell r="E9">
            <v>156.66666666666677</v>
          </cell>
          <cell r="F9">
            <v>64.459199999999996</v>
          </cell>
          <cell r="G9">
            <v>6.9254399999999992</v>
          </cell>
          <cell r="H9">
            <v>180000</v>
          </cell>
        </row>
        <row r="10">
          <cell r="C10">
            <v>8.504999999999999</v>
          </cell>
          <cell r="D10">
            <v>25.380724890989999</v>
          </cell>
          <cell r="E10">
            <v>12.400000000000034</v>
          </cell>
          <cell r="F10">
            <v>15.298559999999998</v>
          </cell>
          <cell r="G10">
            <v>1.2428159999999999</v>
          </cell>
          <cell r="H10">
            <v>680</v>
          </cell>
        </row>
        <row r="11">
          <cell r="C11">
            <v>1.1500000000000004</v>
          </cell>
          <cell r="D11">
            <v>4.53490279764</v>
          </cell>
          <cell r="E11">
            <v>3</v>
          </cell>
          <cell r="F11">
            <v>10.9056</v>
          </cell>
          <cell r="G11">
            <v>9.2064000000000007E-2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529</v>
          </cell>
        </row>
        <row r="13">
          <cell r="G13">
            <v>563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44280</v>
          </cell>
        </row>
        <row r="26">
          <cell r="D26">
            <v>14.45</v>
          </cell>
          <cell r="E26">
            <v>7.4050000000000002</v>
          </cell>
        </row>
        <row r="27">
          <cell r="E27">
            <v>6.7949999999999999</v>
          </cell>
        </row>
        <row r="28">
          <cell r="D28">
            <v>14.45</v>
          </cell>
          <cell r="E28">
            <v>6.6449999999999996</v>
          </cell>
        </row>
      </sheetData>
      <sheetData sheetId="1">
        <row r="9">
          <cell r="C9">
            <v>145.80000000000001</v>
          </cell>
          <cell r="D9">
            <v>95.969532376640004</v>
          </cell>
          <cell r="E9">
            <v>160.00000000000037</v>
          </cell>
          <cell r="F9">
            <v>44.397600000000011</v>
          </cell>
          <cell r="G9">
            <v>4.9828799999999998</v>
          </cell>
          <cell r="H9">
            <v>200000</v>
          </cell>
        </row>
        <row r="10">
          <cell r="C10">
            <v>8.3550000000000004</v>
          </cell>
          <cell r="D10">
            <v>26.157025806389999</v>
          </cell>
          <cell r="E10">
            <v>12.400000000000034</v>
          </cell>
          <cell r="F10">
            <v>14.494560000000002</v>
          </cell>
          <cell r="G10">
            <v>1.4140800000000002</v>
          </cell>
          <cell r="H10">
            <v>810</v>
          </cell>
        </row>
        <row r="11">
          <cell r="C11">
            <v>1.0599999999999987</v>
          </cell>
          <cell r="D11">
            <v>4.7895975410149996</v>
          </cell>
          <cell r="E11">
            <v>3</v>
          </cell>
          <cell r="F11">
            <v>10.539840000000002</v>
          </cell>
          <cell r="G11">
            <v>9.0239999999999987E-2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44258</v>
          </cell>
        </row>
        <row r="26">
          <cell r="D26">
            <v>12.649999999999999</v>
          </cell>
          <cell r="E26">
            <v>7.5049999999999999</v>
          </cell>
        </row>
        <row r="27">
          <cell r="E27">
            <v>6.8449999999999998</v>
          </cell>
        </row>
        <row r="28">
          <cell r="D28">
            <v>12.55</v>
          </cell>
          <cell r="E28">
            <v>6.67</v>
          </cell>
        </row>
      </sheetData>
      <sheetData sheetId="1">
        <row r="9">
          <cell r="C9">
            <v>143.69999999999999</v>
          </cell>
          <cell r="D9">
            <v>81.680751446900004</v>
          </cell>
          <cell r="E9">
            <v>153.3333333333336</v>
          </cell>
          <cell r="F9">
            <v>46.132799999999996</v>
          </cell>
          <cell r="G9">
            <v>4.2203999999999997</v>
          </cell>
          <cell r="H9">
            <v>170000</v>
          </cell>
        </row>
        <row r="10">
          <cell r="C10">
            <v>6.6899999999999995</v>
          </cell>
          <cell r="D10">
            <v>44.453822362849998</v>
          </cell>
          <cell r="E10">
            <v>10.399999999999979</v>
          </cell>
          <cell r="F10">
            <v>11.191199999999998</v>
          </cell>
          <cell r="G10">
            <v>9.3024000000000009E-2</v>
          </cell>
          <cell r="H10">
            <v>610</v>
          </cell>
        </row>
        <row r="11">
          <cell r="C11">
            <v>1.33</v>
          </cell>
          <cell r="D11">
            <v>6.7807552808500002</v>
          </cell>
          <cell r="E11">
            <v>2.8000000000000114</v>
          </cell>
          <cell r="F11">
            <v>10.666559999999999</v>
          </cell>
          <cell r="G11">
            <v>7.1232000000000004E-2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569</v>
          </cell>
        </row>
        <row r="13">
          <cell r="G13">
            <v>537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44281</v>
          </cell>
        </row>
        <row r="26">
          <cell r="D26">
            <v>14.649999999999999</v>
          </cell>
          <cell r="E26">
            <v>7.3049999999999997</v>
          </cell>
        </row>
        <row r="27">
          <cell r="E27">
            <v>6.7949999999999999</v>
          </cell>
        </row>
        <row r="28">
          <cell r="D28">
            <v>14.75</v>
          </cell>
          <cell r="E28">
            <v>6.6449999999999996</v>
          </cell>
        </row>
      </sheetData>
      <sheetData sheetId="1">
        <row r="9">
          <cell r="C9">
            <v>146.69999999999999</v>
          </cell>
          <cell r="D9">
            <v>102.06219459272</v>
          </cell>
          <cell r="E9">
            <v>160.00000000000037</v>
          </cell>
          <cell r="F9">
            <v>21.768000000000001</v>
          </cell>
          <cell r="G9">
            <v>6.2663999999999991</v>
          </cell>
          <cell r="H9">
            <v>200000</v>
          </cell>
        </row>
        <row r="10">
          <cell r="C10">
            <v>8.8800000000000008</v>
          </cell>
          <cell r="D10">
            <v>0</v>
          </cell>
          <cell r="E10">
            <v>10.400000000000034</v>
          </cell>
          <cell r="F10">
            <v>9.1190400000000018</v>
          </cell>
          <cell r="G10">
            <v>0.86611199999999999</v>
          </cell>
          <cell r="H10">
            <v>630</v>
          </cell>
        </row>
        <row r="11">
          <cell r="C11">
            <v>1</v>
          </cell>
          <cell r="D11">
            <v>8.0683088983999998</v>
          </cell>
          <cell r="E11">
            <v>3.2000000000000175</v>
          </cell>
          <cell r="F11">
            <v>6.8438400000000001</v>
          </cell>
          <cell r="G11">
            <v>8.6352000000000012E-2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566</v>
          </cell>
        </row>
        <row r="13">
          <cell r="G13">
            <v>564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44282</v>
          </cell>
        </row>
        <row r="26">
          <cell r="D26">
            <v>14.75</v>
          </cell>
          <cell r="E26">
            <v>7.4050000000000002</v>
          </cell>
        </row>
        <row r="27">
          <cell r="E27">
            <v>0</v>
          </cell>
        </row>
        <row r="28">
          <cell r="D28">
            <v>14.8</v>
          </cell>
          <cell r="E28">
            <v>6.6550000000000002</v>
          </cell>
        </row>
      </sheetData>
      <sheetData sheetId="1">
        <row r="9">
          <cell r="C9">
            <v>146.99999999999997</v>
          </cell>
          <cell r="D9">
            <v>42.241662581332001</v>
          </cell>
          <cell r="E9">
            <v>160.00000000000037</v>
          </cell>
          <cell r="F9">
            <v>51.370800000000003</v>
          </cell>
          <cell r="G9">
            <v>5.0640000000000001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1.4599999999999991</v>
          </cell>
          <cell r="D11">
            <v>4.5835113666450003</v>
          </cell>
          <cell r="E11">
            <v>3.1</v>
          </cell>
          <cell r="F11">
            <v>8.6539999999999999</v>
          </cell>
          <cell r="G11">
            <v>0.22700000000000001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595</v>
          </cell>
        </row>
        <row r="13">
          <cell r="G13">
            <v>699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44283</v>
          </cell>
        </row>
        <row r="26">
          <cell r="D26">
            <v>14.850000000000001</v>
          </cell>
          <cell r="E26">
            <v>7.4950000000000001</v>
          </cell>
        </row>
        <row r="27">
          <cell r="E27">
            <v>0</v>
          </cell>
        </row>
        <row r="28">
          <cell r="D28">
            <v>14.850000000000001</v>
          </cell>
          <cell r="E28">
            <v>6.65</v>
          </cell>
        </row>
      </sheetData>
      <sheetData sheetId="1">
        <row r="9">
          <cell r="C9">
            <v>147.59999999999997</v>
          </cell>
          <cell r="D9">
            <v>38.711476136820004</v>
          </cell>
          <cell r="E9">
            <v>166.66666666666666</v>
          </cell>
          <cell r="F9">
            <v>41.288400000000003</v>
          </cell>
          <cell r="G9">
            <v>3.8037599999999996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1.0300000000000011</v>
          </cell>
          <cell r="D11">
            <v>4.5964173650150002</v>
          </cell>
          <cell r="E11">
            <v>3</v>
          </cell>
          <cell r="F11">
            <v>9.2439999999999998</v>
          </cell>
          <cell r="G11">
            <v>0.214</v>
          </cell>
          <cell r="H11">
            <v>3.5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703</v>
          </cell>
        </row>
        <row r="13">
          <cell r="G13">
            <v>662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44284</v>
          </cell>
        </row>
        <row r="26">
          <cell r="D26">
            <v>15.05</v>
          </cell>
          <cell r="E26">
            <v>7.4450000000000003</v>
          </cell>
        </row>
        <row r="27">
          <cell r="E27">
            <v>6.8049999999999997</v>
          </cell>
        </row>
        <row r="28">
          <cell r="D28">
            <v>14.95</v>
          </cell>
          <cell r="E28">
            <v>6.6449999999999996</v>
          </cell>
        </row>
      </sheetData>
      <sheetData sheetId="1">
        <row r="9">
          <cell r="C9">
            <v>146.99999999999997</v>
          </cell>
          <cell r="D9">
            <v>33.922990459204001</v>
          </cell>
          <cell r="E9">
            <v>160.00000000000037</v>
          </cell>
          <cell r="F9">
            <v>54.556800000000003</v>
          </cell>
          <cell r="G9">
            <v>5.1811199999999999</v>
          </cell>
          <cell r="H9">
            <v>210000</v>
          </cell>
        </row>
        <row r="10">
          <cell r="C10">
            <v>7.6499999999999995</v>
          </cell>
          <cell r="D10">
            <v>12.359464865111001</v>
          </cell>
          <cell r="E10">
            <v>11.200000000000045</v>
          </cell>
          <cell r="F10">
            <v>15.324000000000002</v>
          </cell>
          <cell r="G10">
            <v>1.2521280000000001</v>
          </cell>
          <cell r="H10">
            <v>610</v>
          </cell>
        </row>
        <row r="11">
          <cell r="C11">
            <v>0.98999999999999844</v>
          </cell>
          <cell r="D11">
            <v>4.5156928173170003</v>
          </cell>
          <cell r="E11">
            <v>3</v>
          </cell>
          <cell r="F11">
            <v>9.0028799999999993</v>
          </cell>
          <cell r="G11">
            <v>9.1583999999999999E-2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607</v>
          </cell>
        </row>
        <row r="13">
          <cell r="G13">
            <v>582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44285</v>
          </cell>
        </row>
        <row r="26">
          <cell r="D26">
            <v>15.05</v>
          </cell>
          <cell r="E26">
            <v>7.4249999999999998</v>
          </cell>
        </row>
        <row r="27">
          <cell r="E27">
            <v>6.8049999999999997</v>
          </cell>
        </row>
        <row r="28">
          <cell r="D28">
            <v>15.1</v>
          </cell>
          <cell r="E28">
            <v>6.6550000000000002</v>
          </cell>
        </row>
      </sheetData>
      <sheetData sheetId="1">
        <row r="9">
          <cell r="C9">
            <v>159.9</v>
          </cell>
          <cell r="D9">
            <v>93.895541997728003</v>
          </cell>
          <cell r="E9">
            <v>163.33333333333351</v>
          </cell>
          <cell r="F9">
            <v>45.326399999999992</v>
          </cell>
          <cell r="G9">
            <v>5.8214399999999999</v>
          </cell>
          <cell r="H9">
            <v>200000</v>
          </cell>
        </row>
        <row r="10">
          <cell r="C10">
            <v>7.7399999999999984</v>
          </cell>
          <cell r="D10">
            <v>26.571224556065999</v>
          </cell>
          <cell r="E10">
            <v>10.800000000000011</v>
          </cell>
          <cell r="F10">
            <v>12.57648</v>
          </cell>
          <cell r="G10">
            <v>1.2604799999999998</v>
          </cell>
          <cell r="H10">
            <v>610</v>
          </cell>
        </row>
        <row r="11">
          <cell r="C11">
            <v>0.97000000000000064</v>
          </cell>
          <cell r="D11">
            <v>4.5430993367779999</v>
          </cell>
          <cell r="E11">
            <v>3.2000000000000175</v>
          </cell>
          <cell r="F11">
            <v>9.3758399999999984</v>
          </cell>
          <cell r="G11">
            <v>9.0479999999999977E-2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740</v>
          </cell>
        </row>
        <row r="13">
          <cell r="G13">
            <v>763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636</v>
          </cell>
        </row>
        <row r="13">
          <cell r="G13">
            <v>591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44286</v>
          </cell>
        </row>
        <row r="26">
          <cell r="D26">
            <v>15.25</v>
          </cell>
          <cell r="E26">
            <v>7.4050000000000002</v>
          </cell>
        </row>
        <row r="27">
          <cell r="E27">
            <v>6.8149999999999995</v>
          </cell>
        </row>
        <row r="28">
          <cell r="D28">
            <v>15.25</v>
          </cell>
          <cell r="E28">
            <v>6.65</v>
          </cell>
        </row>
      </sheetData>
      <sheetData sheetId="1">
        <row r="9">
          <cell r="C9">
            <v>150.29999999999995</v>
          </cell>
          <cell r="D9">
            <v>120.74972720130999</v>
          </cell>
          <cell r="E9">
            <v>160.00000000000037</v>
          </cell>
          <cell r="F9">
            <v>26.911200000000004</v>
          </cell>
          <cell r="G9">
            <v>6.5721599999999993</v>
          </cell>
          <cell r="H9">
            <v>200000</v>
          </cell>
        </row>
        <row r="10">
          <cell r="C10">
            <v>8.7900000000000009</v>
          </cell>
          <cell r="D10">
            <v>23.778512838165</v>
          </cell>
          <cell r="E10">
            <v>10.399999999999979</v>
          </cell>
          <cell r="F10">
            <v>14.35008</v>
          </cell>
          <cell r="G10">
            <v>1.3554240000000002</v>
          </cell>
          <cell r="H10">
            <v>610</v>
          </cell>
        </row>
        <row r="11">
          <cell r="C11">
            <v>1.0399999999999991</v>
          </cell>
          <cell r="D11">
            <v>6.84358210078</v>
          </cell>
          <cell r="E11">
            <v>2.6000000000000227</v>
          </cell>
          <cell r="F11">
            <v>8.4758399999999998</v>
          </cell>
          <cell r="G11">
            <v>9.1776000000000024E-2</v>
          </cell>
          <cell r="H11">
            <v>6.5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592</v>
          </cell>
        </row>
        <row r="13">
          <cell r="G13">
            <v>628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44259</v>
          </cell>
        </row>
        <row r="26">
          <cell r="D26">
            <v>12.8</v>
          </cell>
          <cell r="E26">
            <v>7.4249999999999998</v>
          </cell>
        </row>
        <row r="27">
          <cell r="E27">
            <v>6.7549999999999999</v>
          </cell>
        </row>
        <row r="28">
          <cell r="D28">
            <v>12.850000000000001</v>
          </cell>
          <cell r="E28">
            <v>6.6749999999999998</v>
          </cell>
        </row>
      </sheetData>
      <sheetData sheetId="1">
        <row r="9">
          <cell r="C9">
            <v>140.99999999999997</v>
          </cell>
          <cell r="D9">
            <v>35.045577498109999</v>
          </cell>
          <cell r="E9">
            <v>160.00000000000037</v>
          </cell>
          <cell r="F9">
            <v>45.388800000000003</v>
          </cell>
          <cell r="G9">
            <v>4.0939199999999989</v>
          </cell>
          <cell r="H9">
            <v>210000</v>
          </cell>
        </row>
        <row r="10">
          <cell r="C10">
            <v>8.6849999999999987</v>
          </cell>
          <cell r="D10">
            <v>26.210737851169998</v>
          </cell>
          <cell r="E10">
            <v>9.600000000000021</v>
          </cell>
          <cell r="F10">
            <v>9.4367999999999999</v>
          </cell>
          <cell r="G10">
            <v>0.14712000000000003</v>
          </cell>
          <cell r="H10">
            <v>610</v>
          </cell>
        </row>
        <row r="11">
          <cell r="C11">
            <v>1.3699999999999992</v>
          </cell>
          <cell r="D11">
            <v>6.4165424902749999</v>
          </cell>
          <cell r="E11">
            <v>2.4000000000000052</v>
          </cell>
          <cell r="F11">
            <v>8.7926400000000005</v>
          </cell>
          <cell r="G11">
            <v>7.5167999999999985E-2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664</v>
          </cell>
        </row>
        <row r="13">
          <cell r="G13">
            <v>744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44260</v>
          </cell>
        </row>
        <row r="26">
          <cell r="D26">
            <v>12.55</v>
          </cell>
          <cell r="E26">
            <v>7.3149999999999995</v>
          </cell>
        </row>
        <row r="27">
          <cell r="E27">
            <v>6.835</v>
          </cell>
        </row>
        <row r="28">
          <cell r="D28">
            <v>12.5</v>
          </cell>
          <cell r="E28">
            <v>6.665</v>
          </cell>
        </row>
      </sheetData>
      <sheetData sheetId="1">
        <row r="9">
          <cell r="C9">
            <v>146.1</v>
          </cell>
          <cell r="D9">
            <v>69.890159060559995</v>
          </cell>
          <cell r="E9">
            <v>166.66666666666666</v>
          </cell>
          <cell r="F9">
            <v>45.21479999999999</v>
          </cell>
          <cell r="G9">
            <v>4.6651199999999999</v>
          </cell>
          <cell r="H9">
            <v>190000</v>
          </cell>
        </row>
        <row r="10">
          <cell r="C10">
            <v>8.0849999999999973</v>
          </cell>
          <cell r="D10">
            <v>0</v>
          </cell>
          <cell r="E10">
            <v>9.600000000000021</v>
          </cell>
          <cell r="F10">
            <v>9.9590399999999999</v>
          </cell>
          <cell r="G10">
            <v>0.124704</v>
          </cell>
          <cell r="H10">
            <v>600</v>
          </cell>
        </row>
        <row r="11">
          <cell r="C11">
            <v>1.25</v>
          </cell>
          <cell r="D11">
            <v>7.1298853207333304</v>
          </cell>
          <cell r="E11">
            <v>3</v>
          </cell>
          <cell r="F11">
            <v>9.1339199999999998</v>
          </cell>
          <cell r="G11">
            <v>7.152E-2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SheetLayoutView="100" workbookViewId="0">
      <pane xSplit="1" ySplit="3" topLeftCell="B10" activePane="bottomRight" state="frozen"/>
      <selection activeCell="L23" sqref="L23"/>
      <selection pane="topRight" activeCell="L23" sqref="L23"/>
      <selection pane="bottomLeft" activeCell="L23" sqref="L23"/>
      <selection pane="bottomRight" activeCell="D4" sqref="D4:D34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03" t="s">
        <v>24</v>
      </c>
      <c r="B1" s="103"/>
      <c r="C1" s="103"/>
      <c r="D1" s="103"/>
      <c r="E1" s="103"/>
      <c r="F1" s="103"/>
      <c r="G1" s="103"/>
      <c r="H1" s="103"/>
      <c r="I1" s="103"/>
    </row>
    <row r="2" spans="1:13" ht="20.100000000000001" customHeight="1">
      <c r="A2" s="104" t="s">
        <v>14</v>
      </c>
      <c r="B2" s="106" t="s">
        <v>12</v>
      </c>
      <c r="C2" s="107"/>
      <c r="D2" s="107"/>
      <c r="E2" s="107"/>
      <c r="F2" s="107"/>
      <c r="G2" s="107"/>
      <c r="H2" s="107"/>
      <c r="I2" s="108"/>
    </row>
    <row r="3" spans="1:13" ht="24.95" customHeight="1" thickBot="1">
      <c r="A3" s="105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44256</v>
      </c>
      <c r="B4" s="91">
        <f>[1]일반사항!$E$26</f>
        <v>7.4749999999999996</v>
      </c>
      <c r="C4" s="92">
        <f>[1]실험기록부!$C$9</f>
        <v>146.99999999999997</v>
      </c>
      <c r="D4" s="93">
        <f>[1]실험기록부!$D$9</f>
        <v>131.78159899366</v>
      </c>
      <c r="E4" s="22">
        <f>[1]실험기록부!$E$9</f>
        <v>150</v>
      </c>
      <c r="F4" s="23">
        <f>[1]실험기록부!$F$9</f>
        <v>48.6036</v>
      </c>
      <c r="G4" s="23">
        <f>[1]실험기록부!$G$9</f>
        <v>3.83568</v>
      </c>
      <c r="H4" s="24">
        <f>[1]실험기록부!$H$9</f>
        <v>180000</v>
      </c>
      <c r="I4" s="26">
        <f>[2]커버3!$G$12</f>
        <v>632</v>
      </c>
      <c r="J4" s="99">
        <f>[1]일반사항!$D$26</f>
        <v>12.2</v>
      </c>
    </row>
    <row r="5" spans="1:13" ht="20.100000000000001" customHeight="1">
      <c r="A5" s="25">
        <f>[3]일반사항!$B$4</f>
        <v>44257</v>
      </c>
      <c r="B5" s="16">
        <f>[3]일반사항!$E$26</f>
        <v>7.4050000000000002</v>
      </c>
      <c r="C5" s="45">
        <f>[3]실험기록부!$C$9</f>
        <v>135</v>
      </c>
      <c r="D5" s="17">
        <f>[3]실험기록부!$D$9</f>
        <v>37.913682415449998</v>
      </c>
      <c r="E5" s="18">
        <f>[3]실험기록부!$E$9</f>
        <v>156.66666666666677</v>
      </c>
      <c r="F5" s="19">
        <f>[3]실험기록부!$F$9</f>
        <v>25.6464</v>
      </c>
      <c r="G5" s="19">
        <f>[3]실험기록부!$G$9</f>
        <v>2.1479999999999997</v>
      </c>
      <c r="H5" s="20">
        <f>[3]실험기록부!$H$9</f>
        <v>190000</v>
      </c>
      <c r="I5" s="27">
        <f>[4]커버3!$G$12</f>
        <v>836</v>
      </c>
      <c r="J5" s="99">
        <f>[3]일반사항!$D$26</f>
        <v>12.45</v>
      </c>
    </row>
    <row r="6" spans="1:13" ht="20.100000000000001" customHeight="1">
      <c r="A6" s="25">
        <f>[5]일반사항!$B$4</f>
        <v>44258</v>
      </c>
      <c r="B6" s="16">
        <f>[5]일반사항!$E$26</f>
        <v>7.5049999999999999</v>
      </c>
      <c r="C6" s="45">
        <f>[5]실험기록부!$C$9</f>
        <v>143.69999999999999</v>
      </c>
      <c r="D6" s="17">
        <f>[5]실험기록부!$D$9</f>
        <v>81.680751446900004</v>
      </c>
      <c r="E6" s="18">
        <f>[5]실험기록부!$E$9</f>
        <v>153.3333333333336</v>
      </c>
      <c r="F6" s="19">
        <f>[5]실험기록부!$F$9</f>
        <v>46.132799999999996</v>
      </c>
      <c r="G6" s="19">
        <f>[5]실험기록부!$G$9</f>
        <v>4.2203999999999997</v>
      </c>
      <c r="H6" s="20">
        <f>[5]실험기록부!$H$9</f>
        <v>170000</v>
      </c>
      <c r="I6" s="27">
        <f>[6]커버3!$G$12</f>
        <v>740</v>
      </c>
      <c r="J6" s="99">
        <f>[5]일반사항!$D$26</f>
        <v>12.649999999999999</v>
      </c>
    </row>
    <row r="7" spans="1:13" ht="20.100000000000001" customHeight="1">
      <c r="A7" s="25">
        <f>[7]일반사항!$B$4</f>
        <v>44259</v>
      </c>
      <c r="B7" s="16">
        <f>[7]일반사항!$E$26</f>
        <v>7.4249999999999998</v>
      </c>
      <c r="C7" s="45">
        <f>[7]실험기록부!$C$9</f>
        <v>140.99999999999997</v>
      </c>
      <c r="D7" s="17">
        <f>[7]실험기록부!$D$9</f>
        <v>35.045577498109999</v>
      </c>
      <c r="E7" s="18">
        <f>[7]실험기록부!$E$9</f>
        <v>160.00000000000037</v>
      </c>
      <c r="F7" s="19">
        <f>[7]실험기록부!$F$9</f>
        <v>45.388800000000003</v>
      </c>
      <c r="G7" s="19">
        <f>[7]실험기록부!$G$9</f>
        <v>4.0939199999999989</v>
      </c>
      <c r="H7" s="20">
        <f>[7]실험기록부!$H$9</f>
        <v>210000</v>
      </c>
      <c r="I7" s="27">
        <f>[8]커버3!$G$12</f>
        <v>664</v>
      </c>
      <c r="J7" s="99">
        <f>[7]일반사항!$D$26</f>
        <v>12.8</v>
      </c>
    </row>
    <row r="8" spans="1:13" ht="20.100000000000001" customHeight="1">
      <c r="A8" s="25">
        <f>[9]일반사항!$B$4</f>
        <v>44260</v>
      </c>
      <c r="B8" s="16">
        <f>[9]일반사항!$E$26</f>
        <v>7.3149999999999995</v>
      </c>
      <c r="C8" s="45">
        <f>[9]실험기록부!$C$9</f>
        <v>146.1</v>
      </c>
      <c r="D8" s="17">
        <f>[9]실험기록부!$D$9</f>
        <v>69.890159060559995</v>
      </c>
      <c r="E8" s="18">
        <f>[9]실험기록부!$E$9</f>
        <v>166.66666666666666</v>
      </c>
      <c r="F8" s="19">
        <f>[9]실험기록부!$F$9</f>
        <v>45.21479999999999</v>
      </c>
      <c r="G8" s="19">
        <f>[9]실험기록부!$G$9</f>
        <v>4.6651199999999999</v>
      </c>
      <c r="H8" s="20">
        <f>[9]실험기록부!$H$9</f>
        <v>190000</v>
      </c>
      <c r="I8" s="27">
        <f>[10]커버3!$G$12</f>
        <v>618</v>
      </c>
      <c r="J8" s="99">
        <f>[9]일반사항!$D$26</f>
        <v>12.55</v>
      </c>
    </row>
    <row r="9" spans="1:13" ht="20.100000000000001" customHeight="1">
      <c r="A9" s="25">
        <f>[11]일반사항!$B$4</f>
        <v>44261</v>
      </c>
      <c r="B9" s="16">
        <f>[11]일반사항!$E$26</f>
        <v>7.3849999999999998</v>
      </c>
      <c r="C9" s="45">
        <f>[11]실험기록부!$C$9</f>
        <v>147.29999999999998</v>
      </c>
      <c r="D9" s="17">
        <f>[11]실험기록부!$D$9</f>
        <v>46.564615899860001</v>
      </c>
      <c r="E9" s="18">
        <f>[11]실험기록부!$E$9</f>
        <v>143.33333333333368</v>
      </c>
      <c r="F9" s="19">
        <f>[11]실험기록부!$F$9</f>
        <v>48.771599999999999</v>
      </c>
      <c r="G9" s="19">
        <f>[11]실험기록부!$G$9</f>
        <v>4.3543199999999995</v>
      </c>
      <c r="H9" s="20">
        <f>[11]실험기록부!$H$9</f>
        <v>160000</v>
      </c>
      <c r="I9" s="27">
        <f>[12]커버3!$G$12</f>
        <v>564</v>
      </c>
      <c r="J9" s="99">
        <f>[11]일반사항!$D$26</f>
        <v>12.45</v>
      </c>
      <c r="M9" t="s">
        <v>15</v>
      </c>
    </row>
    <row r="10" spans="1:13" ht="20.100000000000001" customHeight="1">
      <c r="A10" s="25">
        <f>[13]일반사항!$B$4</f>
        <v>44262</v>
      </c>
      <c r="B10" s="16">
        <f>[13]일반사항!$E$26</f>
        <v>7.415</v>
      </c>
      <c r="C10" s="45">
        <f>[13]실험기록부!$C$9</f>
        <v>143.10000000000002</v>
      </c>
      <c r="D10" s="17">
        <f>[13]실험기록부!$D$9</f>
        <v>50.366381138240001</v>
      </c>
      <c r="E10" s="18">
        <f>[13]실험기록부!$E$9</f>
        <v>166.66666666666666</v>
      </c>
      <c r="F10" s="19">
        <f>[13]실험기록부!$F$9</f>
        <v>51.923999999999999</v>
      </c>
      <c r="G10" s="19">
        <f>[13]실험기록부!$G$9</f>
        <v>5.4741599999999995</v>
      </c>
      <c r="H10" s="20">
        <f>[13]실험기록부!$H$9</f>
        <v>160000</v>
      </c>
      <c r="I10" s="27">
        <f>[14]커버3!$G$12</f>
        <v>579</v>
      </c>
      <c r="J10" s="99">
        <f>[13]일반사항!$D$26</f>
        <v>12.55</v>
      </c>
      <c r="M10" t="s">
        <v>16</v>
      </c>
    </row>
    <row r="11" spans="1:13" ht="20.100000000000001" customHeight="1">
      <c r="A11" s="25">
        <f>[15]일반사항!$B$4</f>
        <v>44263</v>
      </c>
      <c r="B11" s="16">
        <f>[15]일반사항!$E$26</f>
        <v>7.375</v>
      </c>
      <c r="C11" s="45">
        <f>[15]실험기록부!$C$9</f>
        <v>144.6</v>
      </c>
      <c r="D11" s="17">
        <f>[15]실험기록부!$D$9</f>
        <v>39.457513233779999</v>
      </c>
      <c r="E11" s="18">
        <f>[15]실험기록부!$E$9</f>
        <v>150</v>
      </c>
      <c r="F11" s="19">
        <f>[15]실험기록부!$F$9</f>
        <v>47.089199999999998</v>
      </c>
      <c r="G11" s="19">
        <f>[15]실험기록부!$G$9</f>
        <v>4.2861600000000006</v>
      </c>
      <c r="H11" s="20">
        <f>[15]실험기록부!$H$9</f>
        <v>190000</v>
      </c>
      <c r="I11" s="27">
        <f>[16]커버3!$G$12</f>
        <v>617</v>
      </c>
      <c r="J11" s="99">
        <f>[15]일반사항!$D$26</f>
        <v>12.55</v>
      </c>
      <c r="M11" t="s">
        <v>17</v>
      </c>
    </row>
    <row r="12" spans="1:13" ht="20.100000000000001" customHeight="1">
      <c r="A12" s="25">
        <f>[17]일반사항!$B$4</f>
        <v>44264</v>
      </c>
      <c r="B12" s="16">
        <f>[17]일반사항!$E$26</f>
        <v>7.4050000000000002</v>
      </c>
      <c r="C12" s="45">
        <f>[17]실험기록부!$C$9</f>
        <v>146.99999999999997</v>
      </c>
      <c r="D12" s="17">
        <f>[17]실험기록부!$D$9</f>
        <v>75.250045237219993</v>
      </c>
      <c r="E12" s="18">
        <f>[17]실험기록부!$E$9</f>
        <v>150</v>
      </c>
      <c r="F12" s="19">
        <f>[17]실험기록부!$F$9</f>
        <v>45.557999999999993</v>
      </c>
      <c r="G12" s="19">
        <f>[17]실험기록부!$G$9</f>
        <v>4.0862400000000001</v>
      </c>
      <c r="H12" s="20">
        <f>[17]실험기록부!$H$9</f>
        <v>160000</v>
      </c>
      <c r="I12" s="27">
        <f>[18]커버3!$G$12</f>
        <v>563</v>
      </c>
      <c r="J12" s="99">
        <f>[17]일반사항!$D$26</f>
        <v>12.55</v>
      </c>
      <c r="M12" t="s">
        <v>18</v>
      </c>
    </row>
    <row r="13" spans="1:13" ht="20.100000000000001" customHeight="1">
      <c r="A13" s="25">
        <f>[19]일반사항!$B$4</f>
        <v>44265</v>
      </c>
      <c r="B13" s="16">
        <f>[19]일반사항!$E$26</f>
        <v>7.375</v>
      </c>
      <c r="C13" s="45">
        <f>[19]실험기록부!$C$9</f>
        <v>146.1</v>
      </c>
      <c r="D13" s="17">
        <f>[19]실험기록부!$D$9</f>
        <v>103.8166020988</v>
      </c>
      <c r="E13" s="18">
        <f>[19]실험기록부!$E$9</f>
        <v>156.66666666666677</v>
      </c>
      <c r="F13" s="19">
        <f>[19]실험기록부!$F$9</f>
        <v>52.2072</v>
      </c>
      <c r="G13" s="19">
        <f>[19]실험기록부!$G$9</f>
        <v>4.3780800000000006</v>
      </c>
      <c r="H13" s="20">
        <f>[19]실험기록부!$H$9</f>
        <v>160000</v>
      </c>
      <c r="I13" s="27">
        <f>[20]커버3!$G$12</f>
        <v>612</v>
      </c>
      <c r="J13" s="99">
        <f>[19]일반사항!$D$26</f>
        <v>12.75</v>
      </c>
      <c r="M13" t="s">
        <v>19</v>
      </c>
    </row>
    <row r="14" spans="1:13" ht="20.100000000000001" customHeight="1">
      <c r="A14" s="25">
        <f>[21]일반사항!$B$4</f>
        <v>44266</v>
      </c>
      <c r="B14" s="16">
        <f>[21]일반사항!$E$26</f>
        <v>7.4050000000000002</v>
      </c>
      <c r="C14" s="45">
        <f>[21]실험기록부!$C$9</f>
        <v>146.99999999999997</v>
      </c>
      <c r="D14" s="17">
        <f>[21]실험기록부!$D$9</f>
        <v>103.8120522246</v>
      </c>
      <c r="E14" s="18">
        <f>[21]실험기록부!$E$9</f>
        <v>160.00000000000037</v>
      </c>
      <c r="F14" s="19">
        <f>[21]실험기록부!$F$9</f>
        <v>43.441199999999995</v>
      </c>
      <c r="G14" s="19">
        <f>[21]실험기록부!$G$9</f>
        <v>4.47288</v>
      </c>
      <c r="H14" s="20">
        <f>[21]실험기록부!$H$9</f>
        <v>150000</v>
      </c>
      <c r="I14" s="27">
        <f>[22]커버3!$G$12</f>
        <v>591</v>
      </c>
      <c r="J14" s="99">
        <f>[21]일반사항!$D$26</f>
        <v>13</v>
      </c>
      <c r="M14" t="s">
        <v>20</v>
      </c>
    </row>
    <row r="15" spans="1:13" ht="20.100000000000001" customHeight="1">
      <c r="A15" s="25">
        <f>[23]일반사항!$B$4</f>
        <v>44267</v>
      </c>
      <c r="B15" s="16">
        <f>[23]일반사항!$E$26</f>
        <v>7.4050000000000002</v>
      </c>
      <c r="C15" s="45">
        <f>[23]실험기록부!$C$9</f>
        <v>150.60000000000002</v>
      </c>
      <c r="D15" s="17">
        <f>[23]실험기록부!$D$9</f>
        <v>71.355559243499997</v>
      </c>
      <c r="E15" s="18">
        <f>[23]실험기록부!$E$9</f>
        <v>163.33333333333306</v>
      </c>
      <c r="F15" s="19">
        <f>[23]실험기록부!$F$9</f>
        <v>50.001599999999996</v>
      </c>
      <c r="G15" s="19">
        <f>[23]실험기록부!$G$9</f>
        <v>5.1564000000000005</v>
      </c>
      <c r="H15" s="20">
        <f>[23]실험기록부!$H$9</f>
        <v>180000</v>
      </c>
      <c r="I15" s="27">
        <f>[24]커버3!$G$12</f>
        <v>786</v>
      </c>
      <c r="J15" s="99">
        <f>[23]일반사항!$D$26</f>
        <v>13.05</v>
      </c>
    </row>
    <row r="16" spans="1:13" ht="20.100000000000001" customHeight="1">
      <c r="A16" s="25">
        <f>[25]일반사항!$B$4</f>
        <v>44268</v>
      </c>
      <c r="B16" s="16">
        <f>[25]일반사항!$E$26</f>
        <v>7.4749999999999996</v>
      </c>
      <c r="C16" s="45">
        <f>[25]실험기록부!$C$9</f>
        <v>147.29999999999998</v>
      </c>
      <c r="D16" s="17">
        <f>[25]실험기록부!$D$9</f>
        <v>128.71467473978001</v>
      </c>
      <c r="E16" s="18">
        <f>[25]실험기록부!$E$9</f>
        <v>156.66666666666677</v>
      </c>
      <c r="F16" s="19">
        <f>[25]실험기록부!$F$9</f>
        <v>44.020800000000001</v>
      </c>
      <c r="G16" s="19">
        <f>[25]실험기록부!$G$9</f>
        <v>3.8037599999999996</v>
      </c>
      <c r="H16" s="20">
        <f>[25]실험기록부!$H$9</f>
        <v>170000</v>
      </c>
      <c r="I16" s="27">
        <f>[26]커버3!$G$12</f>
        <v>690</v>
      </c>
      <c r="J16" s="99">
        <f>[25]일반사항!$D$26</f>
        <v>13.05</v>
      </c>
    </row>
    <row r="17" spans="1:10" ht="20.100000000000001" customHeight="1">
      <c r="A17" s="25">
        <f>[27]일반사항!$B$4</f>
        <v>44269</v>
      </c>
      <c r="B17" s="16">
        <f>[27]일반사항!$E$26</f>
        <v>7.375</v>
      </c>
      <c r="C17" s="45">
        <f>[27]실험기록부!$C$9</f>
        <v>180.3</v>
      </c>
      <c r="D17" s="17">
        <f>[27]실험기록부!$D$9</f>
        <v>119.01003400338</v>
      </c>
      <c r="E17" s="18">
        <f>[27]실험기록부!$E$9</f>
        <v>176.66666666666657</v>
      </c>
      <c r="F17" s="19">
        <f>[27]실험기록부!$F$9</f>
        <v>44.126399999999997</v>
      </c>
      <c r="G17" s="19">
        <f>[27]실험기록부!$G$9</f>
        <v>4.3276799999999991</v>
      </c>
      <c r="H17" s="20">
        <f>[27]실험기록부!$H$9</f>
        <v>180000</v>
      </c>
      <c r="I17" s="27">
        <f>[28]커버3!$G$12</f>
        <v>656</v>
      </c>
      <c r="J17" s="99">
        <f>[27]일반사항!$D$26</f>
        <v>13.149999999999999</v>
      </c>
    </row>
    <row r="18" spans="1:10" ht="20.100000000000001" customHeight="1">
      <c r="A18" s="25">
        <f>[29]일반사항!$B$4</f>
        <v>44270</v>
      </c>
      <c r="B18" s="16">
        <f>[29]일반사항!$E$26</f>
        <v>7.4050000000000002</v>
      </c>
      <c r="C18" s="45">
        <f>[29]실험기록부!$C$9</f>
        <v>135.6</v>
      </c>
      <c r="D18" s="17">
        <f>[29]실험기록부!$D$9</f>
        <v>105.06049476474</v>
      </c>
      <c r="E18" s="18">
        <f>[29]실험기록부!$E$9</f>
        <v>176.66666666666703</v>
      </c>
      <c r="F18" s="19">
        <f>[29]실험기록부!$F$9</f>
        <v>44.077200000000005</v>
      </c>
      <c r="G18" s="19">
        <f>[29]실험기록부!$G$9</f>
        <v>4.39968</v>
      </c>
      <c r="H18" s="20">
        <f>[29]실험기록부!$H$9</f>
        <v>180000</v>
      </c>
      <c r="I18" s="27">
        <f>[30]커버3!$G$12</f>
        <v>654</v>
      </c>
      <c r="J18" s="99">
        <f>[29]일반사항!$D$26</f>
        <v>13.25</v>
      </c>
    </row>
    <row r="19" spans="1:10" ht="20.100000000000001" customHeight="1">
      <c r="A19" s="25">
        <f>[31]일반사항!$B$4</f>
        <v>44271</v>
      </c>
      <c r="B19" s="16">
        <f>[31]일반사항!$E$26</f>
        <v>7.4050000000000002</v>
      </c>
      <c r="C19" s="45">
        <f>[31]실험기록부!$C$9</f>
        <v>146.99999999999997</v>
      </c>
      <c r="D19" s="17">
        <f>[31]실험기록부!$D$9</f>
        <v>96.83201479937</v>
      </c>
      <c r="E19" s="18">
        <f>[31]실험기록부!$E$9</f>
        <v>160.00000000000037</v>
      </c>
      <c r="F19" s="19">
        <f>[31]실험기록부!$F$9</f>
        <v>47.6496</v>
      </c>
      <c r="G19" s="19">
        <f>[31]실험기록부!$G$9</f>
        <v>4.6912799999999999</v>
      </c>
      <c r="H19" s="20">
        <f>[31]실험기록부!$H$9</f>
        <v>170000</v>
      </c>
      <c r="I19" s="27">
        <f>[32]커버3!$G$12</f>
        <v>624</v>
      </c>
      <c r="J19" s="99">
        <f>[31]일반사항!$D$26</f>
        <v>13.4</v>
      </c>
    </row>
    <row r="20" spans="1:10" ht="20.100000000000001" customHeight="1">
      <c r="A20" s="25">
        <f>[33]일반사항!$B$4</f>
        <v>44272</v>
      </c>
      <c r="B20" s="16">
        <f>[33]일반사항!$E$26</f>
        <v>7.415</v>
      </c>
      <c r="C20" s="45">
        <f>[33]실험기록부!$C$9</f>
        <v>144</v>
      </c>
      <c r="D20" s="17">
        <f>[33]실험기록부!$D$9</f>
        <v>134.85142299927</v>
      </c>
      <c r="E20" s="18">
        <f>[33]실험기록부!$E$9</f>
        <v>153.3333333333336</v>
      </c>
      <c r="F20" s="19">
        <f>[33]실험기록부!$F$9</f>
        <v>53.311199999999999</v>
      </c>
      <c r="G20" s="19">
        <f>[33]실험기록부!$G$9</f>
        <v>5.7748799999999996</v>
      </c>
      <c r="H20" s="20">
        <f>[33]실험기록부!$H$9</f>
        <v>210000</v>
      </c>
      <c r="I20" s="27">
        <f>[34]커버3!$G$12</f>
        <v>593</v>
      </c>
      <c r="J20" s="99">
        <f>[33]일반사항!$D$26</f>
        <v>13.850000000000001</v>
      </c>
    </row>
    <row r="21" spans="1:10" ht="20.100000000000001" customHeight="1">
      <c r="A21" s="25">
        <f>[35]일반사항!$B$4</f>
        <v>44273</v>
      </c>
      <c r="B21" s="16">
        <f>[35]일반사항!$E$26</f>
        <v>7.3049999999999997</v>
      </c>
      <c r="C21" s="45">
        <f>[35]실험기록부!$C$9</f>
        <v>146.99999999999997</v>
      </c>
      <c r="D21" s="17">
        <f>[35]실험기록부!$D$9</f>
        <v>76.951187116330004</v>
      </c>
      <c r="E21" s="18">
        <f>[35]실험기록부!$E$9</f>
        <v>160.00000000000037</v>
      </c>
      <c r="F21" s="19">
        <f>[35]실험기록부!$F$9</f>
        <v>47.162399999999998</v>
      </c>
      <c r="G21" s="19">
        <f>[35]실험기록부!$G$9</f>
        <v>4.6267199999999997</v>
      </c>
      <c r="H21" s="20">
        <f>[35]실험기록부!$H$9</f>
        <v>160000</v>
      </c>
      <c r="I21" s="27">
        <f>[36]커버3!$G$12</f>
        <v>568</v>
      </c>
      <c r="J21" s="99">
        <f>[35]일반사항!$D$26</f>
        <v>13.9</v>
      </c>
    </row>
    <row r="22" spans="1:10" ht="20.100000000000001" customHeight="1">
      <c r="A22" s="25">
        <f>[37]일반사항!$B$4</f>
        <v>44274</v>
      </c>
      <c r="B22" s="16">
        <f>[37]일반사항!$E$26</f>
        <v>7.42</v>
      </c>
      <c r="C22" s="45">
        <f>[37]실험기록부!$C$9</f>
        <v>165.89999999999998</v>
      </c>
      <c r="D22" s="17">
        <f>[37]실험기록부!$D$9</f>
        <v>66.731767352809996</v>
      </c>
      <c r="E22" s="18">
        <f>[37]실험기록부!$E$9</f>
        <v>163.33333333333306</v>
      </c>
      <c r="F22" s="19">
        <f>[37]실험기록부!$F$9</f>
        <v>43.520399999999995</v>
      </c>
      <c r="G22" s="19">
        <f>[37]실험기록부!$G$9</f>
        <v>5.1554400000000005</v>
      </c>
      <c r="H22" s="20">
        <f>[37]실험기록부!$H$9</f>
        <v>190000</v>
      </c>
      <c r="I22" s="27">
        <f>[38]커버3!$G$12</f>
        <v>563</v>
      </c>
      <c r="J22" s="99">
        <f>[37]일반사항!$D$26</f>
        <v>13.95</v>
      </c>
    </row>
    <row r="23" spans="1:10" ht="20.100000000000001" customHeight="1">
      <c r="A23" s="25">
        <f>[39]일반사항!$B$4</f>
        <v>44275</v>
      </c>
      <c r="B23" s="16">
        <f>[39]일반사항!$E$26</f>
        <v>7.4050000000000002</v>
      </c>
      <c r="C23" s="45">
        <f>[39]실험기록부!$C$9</f>
        <v>154.19999999999999</v>
      </c>
      <c r="D23" s="17">
        <f>[39]실험기록부!$D$9</f>
        <v>92.169494636470006</v>
      </c>
      <c r="E23" s="18">
        <f>[39]실험기록부!$E$9</f>
        <v>159.99999999999991</v>
      </c>
      <c r="F23" s="19">
        <f>[39]실험기록부!$F$9</f>
        <v>44.870400000000004</v>
      </c>
      <c r="G23" s="19">
        <f>[39]실험기록부!$G$9</f>
        <v>4.1474400000000005</v>
      </c>
      <c r="H23" s="20">
        <f>[39]실험기록부!$H$9</f>
        <v>190000</v>
      </c>
      <c r="I23" s="27">
        <f>[40]커버3!$G$12</f>
        <v>517</v>
      </c>
      <c r="J23" s="99">
        <f>[39]일반사항!$D$26</f>
        <v>14.149999999999999</v>
      </c>
    </row>
    <row r="24" spans="1:10" ht="20.100000000000001" customHeight="1">
      <c r="A24" s="25">
        <f>[41]일반사항!$B$4</f>
        <v>44276</v>
      </c>
      <c r="B24" s="16">
        <f>[41]일반사항!$E$26</f>
        <v>7.5049999999999999</v>
      </c>
      <c r="C24" s="45">
        <f>[41]실험기록부!$C$9</f>
        <v>156.89999999999998</v>
      </c>
      <c r="D24" s="17">
        <f>[41]실험기록부!$D$9</f>
        <v>91.971762825759996</v>
      </c>
      <c r="E24" s="18">
        <f>[41]실험기록부!$E$9</f>
        <v>173.33333333333343</v>
      </c>
      <c r="F24" s="19">
        <f>[41]실험기록부!$F$9</f>
        <v>44.603999999999999</v>
      </c>
      <c r="G24" s="19">
        <f>[41]실험기록부!$G$9</f>
        <v>4.7512799999999995</v>
      </c>
      <c r="H24" s="20">
        <f>[41]실험기록부!$H$9</f>
        <v>220000</v>
      </c>
      <c r="I24" s="27">
        <f>[42]커버3!$G$12</f>
        <v>541</v>
      </c>
      <c r="J24" s="99">
        <f>[41]일반사항!$D$26</f>
        <v>14.25</v>
      </c>
    </row>
    <row r="25" spans="1:10" ht="20.100000000000001" customHeight="1">
      <c r="A25" s="25">
        <f>[43]일반사항!$B$4</f>
        <v>44277</v>
      </c>
      <c r="B25" s="16">
        <f>[43]일반사항!$E$26</f>
        <v>7.3049999999999997</v>
      </c>
      <c r="C25" s="45">
        <f>[43]실험기록부!$C$9</f>
        <v>144</v>
      </c>
      <c r="D25" s="17">
        <f>[43]실험기록부!$D$9</f>
        <v>92.969870648880004</v>
      </c>
      <c r="E25" s="18">
        <f>[43]실험기록부!$E$9</f>
        <v>160.00000000000037</v>
      </c>
      <c r="F25" s="19">
        <f>[43]실험기록부!$F$9</f>
        <v>87.934799999999996</v>
      </c>
      <c r="G25" s="19">
        <f>[43]실험기록부!$G$9</f>
        <v>8.5022400000000005</v>
      </c>
      <c r="H25" s="20">
        <f>[43]실험기록부!$H$9</f>
        <v>160000</v>
      </c>
      <c r="I25" s="27">
        <f>[44]커버3!$G$12</f>
        <v>552</v>
      </c>
      <c r="J25" s="99">
        <f>[43]일반사항!$D$26</f>
        <v>14.25</v>
      </c>
    </row>
    <row r="26" spans="1:10" ht="20.100000000000001" customHeight="1">
      <c r="A26" s="25">
        <f>[45]일반사항!$B$4</f>
        <v>44278</v>
      </c>
      <c r="B26" s="16">
        <f>[45]일반사항!$E$26</f>
        <v>7.4450000000000003</v>
      </c>
      <c r="C26" s="45">
        <f>[45]실험기록부!$C$9</f>
        <v>150.60000000000002</v>
      </c>
      <c r="D26" s="17">
        <f>[45]실험기록부!$D$9</f>
        <v>99.722311482750001</v>
      </c>
      <c r="E26" s="18">
        <f>[45]실험기록부!$E$9</f>
        <v>159.99999999999991</v>
      </c>
      <c r="F26" s="19">
        <f>[45]실험기록부!$F$9</f>
        <v>49.809600000000003</v>
      </c>
      <c r="G26" s="19">
        <f>[45]실험기록부!$G$9</f>
        <v>5.34</v>
      </c>
      <c r="H26" s="20">
        <f>[45]실험기록부!$H$9</f>
        <v>160000</v>
      </c>
      <c r="I26" s="27">
        <f>[46]커버3!$G$12</f>
        <v>555</v>
      </c>
      <c r="J26" s="99">
        <f>[45]일반사항!$D$26</f>
        <v>14.55</v>
      </c>
    </row>
    <row r="27" spans="1:10" ht="20.100000000000001" customHeight="1">
      <c r="A27" s="25">
        <f>[47]일반사항!$B$4</f>
        <v>44279</v>
      </c>
      <c r="B27" s="16">
        <f>[47]일반사항!$E$26</f>
        <v>7.4050000000000002</v>
      </c>
      <c r="C27" s="45">
        <f>[47]실험기록부!$C$9</f>
        <v>146.69999999999999</v>
      </c>
      <c r="D27" s="17">
        <f>[47]실험기록부!$D$9</f>
        <v>101.14261237713001</v>
      </c>
      <c r="E27" s="18">
        <f>[47]실험기록부!$E$9</f>
        <v>156.66666666666677</v>
      </c>
      <c r="F27" s="19">
        <f>[47]실험기록부!$F$9</f>
        <v>64.459199999999996</v>
      </c>
      <c r="G27" s="19">
        <f>[47]실험기록부!$G$9</f>
        <v>6.9254399999999992</v>
      </c>
      <c r="H27" s="20">
        <f>[47]실험기록부!$H$9</f>
        <v>180000</v>
      </c>
      <c r="I27" s="27">
        <f>[48]커버3!$G$12</f>
        <v>529</v>
      </c>
      <c r="J27" s="99">
        <f>[47]일반사항!$D$26</f>
        <v>14.350000000000001</v>
      </c>
    </row>
    <row r="28" spans="1:10" ht="20.100000000000001" customHeight="1">
      <c r="A28" s="25">
        <f>[49]일반사항!$B$4</f>
        <v>44280</v>
      </c>
      <c r="B28" s="16">
        <f>[49]일반사항!$E$26</f>
        <v>7.4050000000000002</v>
      </c>
      <c r="C28" s="45">
        <f>[49]실험기록부!$C$9</f>
        <v>145.80000000000001</v>
      </c>
      <c r="D28" s="17">
        <f>[49]실험기록부!$D$9</f>
        <v>95.969532376640004</v>
      </c>
      <c r="E28" s="18">
        <f>[49]실험기록부!$E$9</f>
        <v>160.00000000000037</v>
      </c>
      <c r="F28" s="19">
        <f>[49]실험기록부!$F$9</f>
        <v>44.397600000000011</v>
      </c>
      <c r="G28" s="19">
        <f>[49]실험기록부!$G$9</f>
        <v>4.9828799999999998</v>
      </c>
      <c r="H28" s="20">
        <f>[49]실험기록부!$H$9</f>
        <v>200000</v>
      </c>
      <c r="I28" s="27">
        <f>[50]커버3!$G$12</f>
        <v>569</v>
      </c>
      <c r="J28" s="99">
        <f>[49]일반사항!$D$26</f>
        <v>14.45</v>
      </c>
    </row>
    <row r="29" spans="1:10" ht="20.100000000000001" customHeight="1">
      <c r="A29" s="25">
        <f>[51]일반사항!$B$4</f>
        <v>44281</v>
      </c>
      <c r="B29" s="16">
        <f>[51]일반사항!$E$26</f>
        <v>7.3049999999999997</v>
      </c>
      <c r="C29" s="45">
        <f>[51]실험기록부!$C$9</f>
        <v>146.69999999999999</v>
      </c>
      <c r="D29" s="17">
        <f>[51]실험기록부!$D$9</f>
        <v>102.06219459272</v>
      </c>
      <c r="E29" s="18">
        <f>[51]실험기록부!$E$9</f>
        <v>160.00000000000037</v>
      </c>
      <c r="F29" s="19">
        <f>[51]실험기록부!$F$9</f>
        <v>21.768000000000001</v>
      </c>
      <c r="G29" s="19">
        <f>[51]실험기록부!$G$9</f>
        <v>6.2663999999999991</v>
      </c>
      <c r="H29" s="20">
        <f>[51]실험기록부!$H$9</f>
        <v>200000</v>
      </c>
      <c r="I29" s="27">
        <f>[52]커버3!$G$12</f>
        <v>566</v>
      </c>
      <c r="J29" s="99">
        <f>[51]일반사항!$D$26</f>
        <v>14.649999999999999</v>
      </c>
    </row>
    <row r="30" spans="1:10" ht="20.100000000000001" customHeight="1">
      <c r="A30" s="25">
        <f>[53]일반사항!$B$4</f>
        <v>44282</v>
      </c>
      <c r="B30" s="16">
        <f>[53]일반사항!$E$26</f>
        <v>7.4050000000000002</v>
      </c>
      <c r="C30" s="45">
        <f>[53]실험기록부!$C$9</f>
        <v>146.99999999999997</v>
      </c>
      <c r="D30" s="17">
        <f>[53]실험기록부!$D$9</f>
        <v>42.241662581332001</v>
      </c>
      <c r="E30" s="18">
        <f>[53]실험기록부!$E$9</f>
        <v>160.00000000000037</v>
      </c>
      <c r="F30" s="19">
        <f>[53]실험기록부!$F$9</f>
        <v>51.370800000000003</v>
      </c>
      <c r="G30" s="19">
        <f>[53]실험기록부!$G$9</f>
        <v>5.0640000000000001</v>
      </c>
      <c r="H30" s="20">
        <f>[53]실험기록부!$H$9</f>
        <v>190000</v>
      </c>
      <c r="I30" s="27">
        <f>[54]커버3!$G$12</f>
        <v>595</v>
      </c>
      <c r="J30" s="99">
        <f>[53]일반사항!$D$26</f>
        <v>14.75</v>
      </c>
    </row>
    <row r="31" spans="1:10" ht="20.100000000000001" customHeight="1">
      <c r="A31" s="25">
        <f>[55]일반사항!$B$4</f>
        <v>44283</v>
      </c>
      <c r="B31" s="16">
        <f>[55]일반사항!$E$26</f>
        <v>7.4950000000000001</v>
      </c>
      <c r="C31" s="45">
        <f>[55]실험기록부!$C$9</f>
        <v>147.59999999999997</v>
      </c>
      <c r="D31" s="17">
        <f>[55]실험기록부!$D$9</f>
        <v>38.711476136820004</v>
      </c>
      <c r="E31" s="18">
        <f>[55]실험기록부!$E$9</f>
        <v>166.66666666666666</v>
      </c>
      <c r="F31" s="19">
        <f>[55]실험기록부!$F$9</f>
        <v>41.288400000000003</v>
      </c>
      <c r="G31" s="19">
        <f>[55]실험기록부!$G$9</f>
        <v>3.8037599999999996</v>
      </c>
      <c r="H31" s="20">
        <f>[55]실험기록부!$H$9</f>
        <v>180000</v>
      </c>
      <c r="I31" s="27">
        <f>[56]커버3!$G$12</f>
        <v>703</v>
      </c>
      <c r="J31" s="99">
        <f>[55]일반사항!$D$26</f>
        <v>14.850000000000001</v>
      </c>
    </row>
    <row r="32" spans="1:10" ht="20.100000000000001" customHeight="1">
      <c r="A32" s="25">
        <f>[57]일반사항!$B$4</f>
        <v>44284</v>
      </c>
      <c r="B32" s="16">
        <f>[57]일반사항!$E$26</f>
        <v>7.4450000000000003</v>
      </c>
      <c r="C32" s="45">
        <f>[57]실험기록부!$C$9</f>
        <v>146.99999999999997</v>
      </c>
      <c r="D32" s="17">
        <f>[57]실험기록부!$D$9</f>
        <v>33.922990459204001</v>
      </c>
      <c r="E32" s="18">
        <f>[57]실험기록부!$E$9</f>
        <v>160.00000000000037</v>
      </c>
      <c r="F32" s="19">
        <f>[57]실험기록부!$F$9</f>
        <v>54.556800000000003</v>
      </c>
      <c r="G32" s="19">
        <f>[57]실험기록부!$G$9</f>
        <v>5.1811199999999999</v>
      </c>
      <c r="H32" s="20">
        <f>[57]실험기록부!$H$9</f>
        <v>210000</v>
      </c>
      <c r="I32" s="27">
        <f>[58]커버3!$G$12</f>
        <v>607</v>
      </c>
      <c r="J32" s="99">
        <f>[57]일반사항!$D$26</f>
        <v>15.05</v>
      </c>
    </row>
    <row r="33" spans="1:10" ht="20.100000000000001" customHeight="1">
      <c r="A33" s="25">
        <f>[59]일반사항!$B$4</f>
        <v>44285</v>
      </c>
      <c r="B33" s="16">
        <f>[59]일반사항!$E$26</f>
        <v>7.4249999999999998</v>
      </c>
      <c r="C33" s="45">
        <f>[59]실험기록부!$C$9</f>
        <v>159.9</v>
      </c>
      <c r="D33" s="17">
        <f>[59]실험기록부!$D$9</f>
        <v>93.895541997728003</v>
      </c>
      <c r="E33" s="18">
        <f>[59]실험기록부!$E$9</f>
        <v>163.33333333333351</v>
      </c>
      <c r="F33" s="19">
        <f>[59]실험기록부!$F$9</f>
        <v>45.326399999999992</v>
      </c>
      <c r="G33" s="19">
        <f>[59]실험기록부!$G$9</f>
        <v>5.8214399999999999</v>
      </c>
      <c r="H33" s="20">
        <f>[59]실험기록부!$H$9</f>
        <v>200000</v>
      </c>
      <c r="I33" s="27">
        <f>[60]커버3!$G$12</f>
        <v>636</v>
      </c>
      <c r="J33" s="99">
        <f>[59]일반사항!$D$26</f>
        <v>15.05</v>
      </c>
    </row>
    <row r="34" spans="1:10" ht="20.100000000000001" customHeight="1" thickBot="1">
      <c r="A34" s="28">
        <f>[61]일반사항!$B$4</f>
        <v>44286</v>
      </c>
      <c r="B34" s="29">
        <f>[61]일반사항!$E$26</f>
        <v>7.4050000000000002</v>
      </c>
      <c r="C34" s="46">
        <f>[61]실험기록부!$C$9</f>
        <v>150.29999999999995</v>
      </c>
      <c r="D34" s="30">
        <f>[61]실험기록부!$D$9</f>
        <v>120.74972720130999</v>
      </c>
      <c r="E34" s="31">
        <f>[61]실험기록부!$E$9</f>
        <v>160.00000000000037</v>
      </c>
      <c r="F34" s="32">
        <f>[61]실험기록부!$F$9</f>
        <v>26.911200000000004</v>
      </c>
      <c r="G34" s="32">
        <f>[61]실험기록부!$G$9</f>
        <v>6.5721599999999993</v>
      </c>
      <c r="H34" s="33">
        <f>[61]실험기록부!$H$9</f>
        <v>200000</v>
      </c>
      <c r="I34" s="34">
        <f>[62]커버3!$G$12</f>
        <v>592</v>
      </c>
      <c r="J34" s="99">
        <f>[61]일반사항!$D$26</f>
        <v>15.25</v>
      </c>
    </row>
    <row r="35" spans="1:10" ht="20.100000000000001" customHeight="1" thickTop="1">
      <c r="A35" s="15" t="s">
        <v>0</v>
      </c>
      <c r="B35" s="37">
        <f>MAX(B4:B34)</f>
        <v>7.5049999999999999</v>
      </c>
      <c r="C35" s="35">
        <f t="shared" ref="C35:I35" si="0">MAX(C4:C34)</f>
        <v>180.3</v>
      </c>
      <c r="D35" s="35">
        <f t="shared" si="0"/>
        <v>134.85142299927</v>
      </c>
      <c r="E35" s="35">
        <f t="shared" si="0"/>
        <v>176.66666666666703</v>
      </c>
      <c r="F35" s="40">
        <f t="shared" si="0"/>
        <v>87.934799999999996</v>
      </c>
      <c r="G35" s="40">
        <f t="shared" si="0"/>
        <v>8.5022400000000005</v>
      </c>
      <c r="H35" s="100">
        <f t="shared" si="0"/>
        <v>220000</v>
      </c>
      <c r="I35" s="87">
        <f t="shared" si="0"/>
        <v>836</v>
      </c>
    </row>
    <row r="36" spans="1:10" ht="20.100000000000001" customHeight="1">
      <c r="A36" s="1" t="s">
        <v>1</v>
      </c>
      <c r="B36" s="38">
        <f>MIN(B5:B34)</f>
        <v>7.3049999999999997</v>
      </c>
      <c r="C36" s="4">
        <f t="shared" ref="C36:I36" si="1">MIN(C5:C34)</f>
        <v>135</v>
      </c>
      <c r="D36" s="4">
        <f t="shared" si="1"/>
        <v>33.922990459204001</v>
      </c>
      <c r="E36" s="4">
        <f t="shared" si="1"/>
        <v>143.33333333333368</v>
      </c>
      <c r="F36" s="41">
        <f t="shared" si="1"/>
        <v>21.768000000000001</v>
      </c>
      <c r="G36" s="41">
        <f t="shared" si="1"/>
        <v>2.1479999999999997</v>
      </c>
      <c r="H36" s="101">
        <f t="shared" si="1"/>
        <v>150000</v>
      </c>
      <c r="I36" s="88">
        <f t="shared" si="1"/>
        <v>517</v>
      </c>
    </row>
    <row r="37" spans="1:10" ht="20.100000000000001" customHeight="1" thickBot="1">
      <c r="A37" s="2" t="s">
        <v>2</v>
      </c>
      <c r="B37" s="39">
        <f>AVERAGE(B4:B34)</f>
        <v>7.4077419354838714</v>
      </c>
      <c r="C37" s="36">
        <f t="shared" ref="C37:I37" si="2">AVERAGE(C4:C34)</f>
        <v>148.46129032258062</v>
      </c>
      <c r="D37" s="36">
        <f t="shared" si="2"/>
        <v>83.245655212358187</v>
      </c>
      <c r="E37" s="36">
        <f t="shared" si="2"/>
        <v>160.10752688172059</v>
      </c>
      <c r="F37" s="42">
        <f t="shared" si="2"/>
        <v>46.81110967741936</v>
      </c>
      <c r="G37" s="42">
        <f t="shared" si="2"/>
        <v>4.880934193548387</v>
      </c>
      <c r="H37" s="102">
        <f t="shared" si="2"/>
        <v>182258.06451612903</v>
      </c>
      <c r="I37" s="89">
        <f t="shared" si="2"/>
        <v>616.51612903225805</v>
      </c>
      <c r="J37" s="61">
        <f>I37*30</f>
        <v>18495.483870967742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view="pageBreakPreview" zoomScaleSheetLayoutView="100" workbookViewId="0">
      <pane xSplit="1" ySplit="3" topLeftCell="B34" activePane="bottomRight" state="frozen"/>
      <selection activeCell="D50" sqref="D50"/>
      <selection pane="topRight" activeCell="D50" sqref="D50"/>
      <selection pane="bottomLeft" activeCell="D50" sqref="D50"/>
      <selection pane="bottomRight" activeCell="G11" sqref="G11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09" t="s">
        <v>25</v>
      </c>
      <c r="B1" s="109"/>
      <c r="C1" s="109"/>
      <c r="D1" s="109"/>
      <c r="E1" s="109"/>
      <c r="F1" s="109"/>
      <c r="G1" s="109"/>
      <c r="H1" s="109"/>
      <c r="I1" s="109"/>
    </row>
    <row r="2" spans="1:18" ht="20.100000000000001" customHeight="1">
      <c r="A2" s="104" t="s">
        <v>14</v>
      </c>
      <c r="B2" s="106" t="s">
        <v>13</v>
      </c>
      <c r="C2" s="107"/>
      <c r="D2" s="107"/>
      <c r="E2" s="107"/>
      <c r="F2" s="107"/>
      <c r="G2" s="107"/>
      <c r="H2" s="107"/>
      <c r="I2" s="108"/>
    </row>
    <row r="3" spans="1:18" ht="24.95" customHeight="1" thickBot="1">
      <c r="A3" s="105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44256</v>
      </c>
      <c r="B4" s="57">
        <f>[1]일반사항!$E$27</f>
        <v>0</v>
      </c>
      <c r="C4" s="94">
        <f>[1]실험기록부!$C$10</f>
        <v>0</v>
      </c>
      <c r="D4" s="95">
        <f>[1]실험기록부!$D$10</f>
        <v>0</v>
      </c>
      <c r="E4" s="96">
        <f>[1]실험기록부!$E$10</f>
        <v>0</v>
      </c>
      <c r="F4" s="97">
        <f>[1]실험기록부!$F$10</f>
        <v>0</v>
      </c>
      <c r="G4" s="97">
        <f>[1]실험기록부!$G$10</f>
        <v>0</v>
      </c>
      <c r="H4" s="98">
        <f>[1]실험기록부!$H$10</f>
        <v>0</v>
      </c>
      <c r="I4" s="26"/>
      <c r="K4" s="62" t="str">
        <f>IF(B4&gt;0,B4,"")</f>
        <v/>
      </c>
      <c r="L4" s="63" t="str">
        <f t="shared" ref="L4:P4" si="0">IF(C4&gt;0,C4,"")</f>
        <v/>
      </c>
      <c r="M4" s="63" t="str">
        <f t="shared" si="0"/>
        <v/>
      </c>
      <c r="N4" s="63" t="str">
        <f t="shared" si="0"/>
        <v/>
      </c>
      <c r="O4" s="63" t="str">
        <f t="shared" si="0"/>
        <v/>
      </c>
      <c r="P4" s="63" t="str">
        <f t="shared" si="0"/>
        <v/>
      </c>
      <c r="Q4" s="64" t="str">
        <f>IF(H4&gt;0,H4,"")</f>
        <v/>
      </c>
      <c r="R4" s="65" t="str">
        <f>IF(I4&gt;0,I4,"")</f>
        <v/>
      </c>
    </row>
    <row r="5" spans="1:18" ht="20.100000000000001" customHeight="1">
      <c r="A5" s="25">
        <f>[3]일반사항!$B$4</f>
        <v>44257</v>
      </c>
      <c r="B5" s="58">
        <f>[3]일반사항!$E$27</f>
        <v>6.7350000000000003</v>
      </c>
      <c r="C5" s="51">
        <f>[3]실험기록부!$C$10</f>
        <v>8.6700000000000017</v>
      </c>
      <c r="D5" s="52">
        <f>[3]실험기록부!$D$10</f>
        <v>26.98768367057</v>
      </c>
      <c r="E5" s="53">
        <f>[3]실험기록부!$E$10</f>
        <v>8.4000000000000341</v>
      </c>
      <c r="F5" s="48">
        <f>[3]실험기록부!$F$10</f>
        <v>12.021600000000003</v>
      </c>
      <c r="G5" s="48">
        <f>[3]실험기록부!$G$10</f>
        <v>0.12681599999999998</v>
      </c>
      <c r="H5" s="47">
        <f>[3]실험기록부!$H$10</f>
        <v>810</v>
      </c>
      <c r="I5" s="27"/>
      <c r="K5" s="65">
        <f t="shared" ref="K5:K34" si="1">IF(B5&gt;0,B5,"")</f>
        <v>6.7350000000000003</v>
      </c>
      <c r="L5" s="66">
        <f t="shared" ref="L5:L34" si="2">IF(C5&gt;0,C5,"")</f>
        <v>8.6700000000000017</v>
      </c>
      <c r="M5" s="66">
        <f t="shared" ref="M5:M34" si="3">IF(D5&gt;0,D5,"")</f>
        <v>26.98768367057</v>
      </c>
      <c r="N5" s="66">
        <f t="shared" ref="N5:N34" si="4">IF(E5&gt;0,E5,"")</f>
        <v>8.4000000000000341</v>
      </c>
      <c r="O5" s="66">
        <f t="shared" ref="O5:O34" si="5">IF(F5&gt;0,F5,"")</f>
        <v>12.021600000000003</v>
      </c>
      <c r="P5" s="66">
        <f t="shared" ref="P5:P34" si="6">IF(G5&gt;0,G5,"")</f>
        <v>0.12681599999999998</v>
      </c>
      <c r="Q5" s="67">
        <f t="shared" ref="Q5:Q34" si="7">IF(H5&gt;0,H5,"")</f>
        <v>810</v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44258</v>
      </c>
      <c r="B6" s="58">
        <f>[5]일반사항!$E$27</f>
        <v>6.8449999999999998</v>
      </c>
      <c r="C6" s="51">
        <f>[5]실험기록부!$C$10</f>
        <v>6.6899999999999995</v>
      </c>
      <c r="D6" s="52">
        <f>[5]실험기록부!$D$10</f>
        <v>44.453822362849998</v>
      </c>
      <c r="E6" s="53">
        <f>[5]실험기록부!$E$10</f>
        <v>10.399999999999979</v>
      </c>
      <c r="F6" s="48">
        <f>[5]실험기록부!$F$10</f>
        <v>11.191199999999998</v>
      </c>
      <c r="G6" s="48">
        <f>[5]실험기록부!$G$10</f>
        <v>9.3024000000000009E-2</v>
      </c>
      <c r="H6" s="47">
        <f>[5]실험기록부!$H$10</f>
        <v>610</v>
      </c>
      <c r="I6" s="27"/>
      <c r="K6" s="65">
        <f t="shared" si="1"/>
        <v>6.8449999999999998</v>
      </c>
      <c r="L6" s="66">
        <f t="shared" si="2"/>
        <v>6.6899999999999995</v>
      </c>
      <c r="M6" s="66">
        <f t="shared" si="3"/>
        <v>44.453822362849998</v>
      </c>
      <c r="N6" s="66">
        <f t="shared" si="4"/>
        <v>10.399999999999979</v>
      </c>
      <c r="O6" s="66">
        <f t="shared" si="5"/>
        <v>11.191199999999998</v>
      </c>
      <c r="P6" s="66">
        <f t="shared" si="6"/>
        <v>9.3024000000000009E-2</v>
      </c>
      <c r="Q6" s="67">
        <f t="shared" si="7"/>
        <v>610</v>
      </c>
      <c r="R6" s="65" t="str">
        <f t="shared" si="8"/>
        <v/>
      </c>
    </row>
    <row r="7" spans="1:18" ht="20.100000000000001" customHeight="1">
      <c r="A7" s="25">
        <f>[7]일반사항!$B$4</f>
        <v>44259</v>
      </c>
      <c r="B7" s="58">
        <f>[7]일반사항!$E$27</f>
        <v>6.7549999999999999</v>
      </c>
      <c r="C7" s="51">
        <f>[7]실험기록부!$C$10</f>
        <v>8.6849999999999987</v>
      </c>
      <c r="D7" s="52">
        <f>[7]실험기록부!$D$10</f>
        <v>26.210737851169998</v>
      </c>
      <c r="E7" s="53">
        <f>[7]실험기록부!$E$10</f>
        <v>9.600000000000021</v>
      </c>
      <c r="F7" s="48">
        <f>[7]실험기록부!$F$10</f>
        <v>9.4367999999999999</v>
      </c>
      <c r="G7" s="48">
        <f>[7]실험기록부!$G$10</f>
        <v>0.14712000000000003</v>
      </c>
      <c r="H7" s="47">
        <f>[7]실험기록부!$H$10</f>
        <v>610</v>
      </c>
      <c r="I7" s="27"/>
      <c r="K7" s="65">
        <f t="shared" si="1"/>
        <v>6.7549999999999999</v>
      </c>
      <c r="L7" s="66">
        <f t="shared" si="2"/>
        <v>8.6849999999999987</v>
      </c>
      <c r="M7" s="66">
        <f t="shared" si="3"/>
        <v>26.210737851169998</v>
      </c>
      <c r="N7" s="66">
        <f t="shared" si="4"/>
        <v>9.600000000000021</v>
      </c>
      <c r="O7" s="66">
        <f t="shared" si="5"/>
        <v>9.4367999999999999</v>
      </c>
      <c r="P7" s="66">
        <f t="shared" si="6"/>
        <v>0.14712000000000003</v>
      </c>
      <c r="Q7" s="67">
        <f t="shared" si="7"/>
        <v>610</v>
      </c>
      <c r="R7" s="65" t="str">
        <f t="shared" si="8"/>
        <v/>
      </c>
    </row>
    <row r="8" spans="1:18" ht="20.100000000000001" customHeight="1">
      <c r="A8" s="25">
        <f>[9]일반사항!$B$4</f>
        <v>44260</v>
      </c>
      <c r="B8" s="58">
        <f>[9]일반사항!$E$27</f>
        <v>6.835</v>
      </c>
      <c r="C8" s="51">
        <f>[9]실험기록부!$C$10</f>
        <v>8.0849999999999973</v>
      </c>
      <c r="D8" s="52">
        <f>[9]실험기록부!$D$10</f>
        <v>0</v>
      </c>
      <c r="E8" s="53">
        <f>[9]실험기록부!$E$10</f>
        <v>9.600000000000021</v>
      </c>
      <c r="F8" s="48">
        <f>[9]실험기록부!$F$10</f>
        <v>9.9590399999999999</v>
      </c>
      <c r="G8" s="48">
        <f>[9]실험기록부!$G$10</f>
        <v>0.124704</v>
      </c>
      <c r="H8" s="47">
        <f>[9]실험기록부!$H$10</f>
        <v>600</v>
      </c>
      <c r="I8" s="27"/>
      <c r="K8" s="65">
        <f t="shared" si="1"/>
        <v>6.835</v>
      </c>
      <c r="L8" s="66">
        <f t="shared" si="2"/>
        <v>8.0849999999999973</v>
      </c>
      <c r="M8" s="66" t="str">
        <f t="shared" si="3"/>
        <v/>
      </c>
      <c r="N8" s="66">
        <f t="shared" si="4"/>
        <v>9.600000000000021</v>
      </c>
      <c r="O8" s="66">
        <f t="shared" si="5"/>
        <v>9.9590399999999999</v>
      </c>
      <c r="P8" s="66">
        <f t="shared" si="6"/>
        <v>0.124704</v>
      </c>
      <c r="Q8" s="67">
        <f t="shared" si="7"/>
        <v>600</v>
      </c>
      <c r="R8" s="65" t="str">
        <f t="shared" si="8"/>
        <v/>
      </c>
    </row>
    <row r="9" spans="1:18" ht="20.100000000000001" customHeight="1">
      <c r="A9" s="25">
        <f>[11]일반사항!$B$4</f>
        <v>44261</v>
      </c>
      <c r="B9" s="58">
        <f>[11]일반사항!$E$27</f>
        <v>0</v>
      </c>
      <c r="C9" s="51">
        <f>[11]실험기록부!$C$10</f>
        <v>0</v>
      </c>
      <c r="D9" s="52">
        <f>[11]실험기록부!$D$10</f>
        <v>0</v>
      </c>
      <c r="E9" s="53">
        <f>[11]실험기록부!$E$10</f>
        <v>0</v>
      </c>
      <c r="F9" s="48">
        <f>[11]실험기록부!$F$10</f>
        <v>0</v>
      </c>
      <c r="G9" s="48">
        <f>[11]실험기록부!$G$10</f>
        <v>0</v>
      </c>
      <c r="H9" s="47">
        <f>[11]실험기록부!$H$10</f>
        <v>0</v>
      </c>
      <c r="I9" s="27"/>
      <c r="K9" s="65" t="str">
        <f t="shared" si="1"/>
        <v/>
      </c>
      <c r="L9" s="66" t="str">
        <f t="shared" si="2"/>
        <v/>
      </c>
      <c r="M9" s="66" t="str">
        <f t="shared" si="3"/>
        <v/>
      </c>
      <c r="N9" s="66" t="str">
        <f t="shared" si="4"/>
        <v/>
      </c>
      <c r="O9" s="66" t="str">
        <f t="shared" si="5"/>
        <v/>
      </c>
      <c r="P9" s="66" t="str">
        <f t="shared" si="6"/>
        <v/>
      </c>
      <c r="Q9" s="67" t="str">
        <f t="shared" si="7"/>
        <v/>
      </c>
      <c r="R9" s="65" t="str">
        <f t="shared" si="8"/>
        <v/>
      </c>
    </row>
    <row r="10" spans="1:18" ht="20.100000000000001" customHeight="1">
      <c r="A10" s="25">
        <f>[13]일반사항!$B$4</f>
        <v>44262</v>
      </c>
      <c r="B10" s="58">
        <f>[13]일반사항!$E$27</f>
        <v>0</v>
      </c>
      <c r="C10" s="51">
        <f>[13]실험기록부!$C$10</f>
        <v>0</v>
      </c>
      <c r="D10" s="52">
        <f>[13]실험기록부!$D$10</f>
        <v>0</v>
      </c>
      <c r="E10" s="53">
        <f>[13]실험기록부!$E$10</f>
        <v>0</v>
      </c>
      <c r="F10" s="48">
        <f>[13]실험기록부!$F$10</f>
        <v>0</v>
      </c>
      <c r="G10" s="48">
        <f>[13]실험기록부!$G$10</f>
        <v>0</v>
      </c>
      <c r="H10" s="47">
        <f>[13]실험기록부!$H$10</f>
        <v>0</v>
      </c>
      <c r="I10" s="27"/>
      <c r="K10" s="65" t="str">
        <f t="shared" si="1"/>
        <v/>
      </c>
      <c r="L10" s="66" t="str">
        <f t="shared" si="2"/>
        <v/>
      </c>
      <c r="M10" s="66" t="str">
        <f t="shared" si="3"/>
        <v/>
      </c>
      <c r="N10" s="66" t="str">
        <f t="shared" si="4"/>
        <v/>
      </c>
      <c r="O10" s="66" t="str">
        <f t="shared" si="5"/>
        <v/>
      </c>
      <c r="P10" s="66" t="str">
        <f t="shared" si="6"/>
        <v/>
      </c>
      <c r="Q10" s="67" t="str">
        <f t="shared" si="7"/>
        <v/>
      </c>
      <c r="R10" s="65" t="str">
        <f t="shared" si="8"/>
        <v/>
      </c>
    </row>
    <row r="11" spans="1:18" ht="20.100000000000001" customHeight="1">
      <c r="A11" s="25">
        <f>[15]일반사항!$B$4</f>
        <v>44263</v>
      </c>
      <c r="B11" s="58">
        <f>[15]일반사항!$E$27</f>
        <v>6.7249999999999996</v>
      </c>
      <c r="C11" s="51">
        <f>[15]실험기록부!$C$10</f>
        <v>6.84</v>
      </c>
      <c r="D11" s="52">
        <f>[15]실험기록부!$D$10</f>
        <v>15.16924040262</v>
      </c>
      <c r="E11" s="53">
        <f>[15]실험기록부!$E$10</f>
        <v>10.800000000000011</v>
      </c>
      <c r="F11" s="48">
        <f>[15]실험기록부!$F$10</f>
        <v>8.7115200000000002</v>
      </c>
      <c r="G11" s="48">
        <f>[15]실험기록부!$G$10</f>
        <v>0.42297600000000002</v>
      </c>
      <c r="H11" s="47">
        <f>[15]실험기록부!$H$10</f>
        <v>630</v>
      </c>
      <c r="I11" s="27"/>
      <c r="K11" s="65">
        <f t="shared" si="1"/>
        <v>6.7249999999999996</v>
      </c>
      <c r="L11" s="66">
        <f t="shared" si="2"/>
        <v>6.84</v>
      </c>
      <c r="M11" s="66">
        <f t="shared" si="3"/>
        <v>15.16924040262</v>
      </c>
      <c r="N11" s="66">
        <f t="shared" si="4"/>
        <v>10.800000000000011</v>
      </c>
      <c r="O11" s="66">
        <f t="shared" si="5"/>
        <v>8.7115200000000002</v>
      </c>
      <c r="P11" s="66">
        <f t="shared" si="6"/>
        <v>0.42297600000000002</v>
      </c>
      <c r="Q11" s="67">
        <f t="shared" si="7"/>
        <v>630</v>
      </c>
      <c r="R11" s="65" t="str">
        <f t="shared" si="8"/>
        <v/>
      </c>
    </row>
    <row r="12" spans="1:18" ht="20.100000000000001" customHeight="1">
      <c r="A12" s="25">
        <f>[17]일반사항!$B$4</f>
        <v>44264</v>
      </c>
      <c r="B12" s="58">
        <f>[17]일반사항!$E$27</f>
        <v>6.7350000000000003</v>
      </c>
      <c r="C12" s="51">
        <f>[17]실험기록부!$C$10</f>
        <v>9.3150000000000013</v>
      </c>
      <c r="D12" s="52">
        <f>[17]실험기록부!$D$10</f>
        <v>10.0962900553167</v>
      </c>
      <c r="E12" s="53">
        <f>[17]실험기록부!$E$10</f>
        <v>12.400000000000034</v>
      </c>
      <c r="F12" s="48">
        <f>[17]실험기록부!$F$10</f>
        <v>10.335359999999998</v>
      </c>
      <c r="G12" s="48">
        <f>[17]실험기록부!$G$10</f>
        <v>0.13199999999999998</v>
      </c>
      <c r="H12" s="47">
        <f>[17]실험기록부!$H$10</f>
        <v>610</v>
      </c>
      <c r="I12" s="27"/>
      <c r="K12" s="65">
        <f t="shared" si="1"/>
        <v>6.7350000000000003</v>
      </c>
      <c r="L12" s="66">
        <f t="shared" si="2"/>
        <v>9.3150000000000013</v>
      </c>
      <c r="M12" s="66">
        <f t="shared" si="3"/>
        <v>10.0962900553167</v>
      </c>
      <c r="N12" s="66">
        <f t="shared" si="4"/>
        <v>12.400000000000034</v>
      </c>
      <c r="O12" s="66">
        <f t="shared" si="5"/>
        <v>10.335359999999998</v>
      </c>
      <c r="P12" s="66">
        <f t="shared" si="6"/>
        <v>0.13199999999999998</v>
      </c>
      <c r="Q12" s="67">
        <f t="shared" si="7"/>
        <v>610</v>
      </c>
      <c r="R12" s="65" t="str">
        <f t="shared" si="8"/>
        <v/>
      </c>
    </row>
    <row r="13" spans="1:18" ht="20.100000000000001" customHeight="1">
      <c r="A13" s="25">
        <f>[19]일반사항!$B$4</f>
        <v>44265</v>
      </c>
      <c r="B13" s="58">
        <f>[19]일반사항!$E$27</f>
        <v>6.74</v>
      </c>
      <c r="C13" s="51">
        <f>[19]실험기록부!$C$10</f>
        <v>6.9300000000000015</v>
      </c>
      <c r="D13" s="52">
        <f>[19]실험기록부!$D$10</f>
        <v>7.7317228884166704</v>
      </c>
      <c r="E13" s="53">
        <f>[19]실험기록부!$E$10</f>
        <v>11.599999999999966</v>
      </c>
      <c r="F13" s="48">
        <f>[19]실험기록부!$F$10</f>
        <v>10.18416</v>
      </c>
      <c r="G13" s="48">
        <f>[19]실험기록부!$G$10</f>
        <v>0.112272</v>
      </c>
      <c r="H13" s="47">
        <f>[19]실험기록부!$H$10</f>
        <v>610</v>
      </c>
      <c r="I13" s="27"/>
      <c r="K13" s="65">
        <f t="shared" si="1"/>
        <v>6.74</v>
      </c>
      <c r="L13" s="66">
        <f t="shared" si="2"/>
        <v>6.9300000000000015</v>
      </c>
      <c r="M13" s="66">
        <f t="shared" si="3"/>
        <v>7.7317228884166704</v>
      </c>
      <c r="N13" s="66">
        <f t="shared" si="4"/>
        <v>11.599999999999966</v>
      </c>
      <c r="O13" s="66">
        <f t="shared" si="5"/>
        <v>10.18416</v>
      </c>
      <c r="P13" s="66">
        <f t="shared" si="6"/>
        <v>0.112272</v>
      </c>
      <c r="Q13" s="67">
        <f t="shared" si="7"/>
        <v>610</v>
      </c>
      <c r="R13" s="65" t="str">
        <f t="shared" si="8"/>
        <v/>
      </c>
    </row>
    <row r="14" spans="1:18" ht="20.100000000000001" customHeight="1">
      <c r="A14" s="25">
        <f>[21]일반사항!$B$4</f>
        <v>44266</v>
      </c>
      <c r="B14" s="58">
        <f>[21]일반사항!$E$27</f>
        <v>6.7750000000000004</v>
      </c>
      <c r="C14" s="51">
        <f>[21]실험기록부!$C$10</f>
        <v>7.5150000000000006</v>
      </c>
      <c r="D14" s="52">
        <f>[21]실험기록부!$D$10</f>
        <v>23.150785798485</v>
      </c>
      <c r="E14" s="53">
        <f>[21]실험기록부!$E$10</f>
        <v>14</v>
      </c>
      <c r="F14" s="48">
        <f>[21]실험기록부!$F$10</f>
        <v>10.246080000000001</v>
      </c>
      <c r="G14" s="48">
        <f>[21]실험기록부!$G$10</f>
        <v>0.15897599999999998</v>
      </c>
      <c r="H14" s="47">
        <f>[21]실험기록부!$H$10</f>
        <v>540</v>
      </c>
      <c r="I14" s="27"/>
      <c r="K14" s="65">
        <f t="shared" si="1"/>
        <v>6.7750000000000004</v>
      </c>
      <c r="L14" s="66">
        <f t="shared" si="2"/>
        <v>7.5150000000000006</v>
      </c>
      <c r="M14" s="66">
        <f t="shared" si="3"/>
        <v>23.150785798485</v>
      </c>
      <c r="N14" s="66">
        <f t="shared" si="4"/>
        <v>14</v>
      </c>
      <c r="O14" s="66">
        <f t="shared" si="5"/>
        <v>10.246080000000001</v>
      </c>
      <c r="P14" s="66">
        <f t="shared" si="6"/>
        <v>0.15897599999999998</v>
      </c>
      <c r="Q14" s="67">
        <f t="shared" si="7"/>
        <v>540</v>
      </c>
      <c r="R14" s="65" t="str">
        <f t="shared" si="8"/>
        <v/>
      </c>
    </row>
    <row r="15" spans="1:18" ht="20.100000000000001" customHeight="1">
      <c r="A15" s="25">
        <f>[23]일반사항!$B$4</f>
        <v>44267</v>
      </c>
      <c r="B15" s="58">
        <f>[23]일반사항!$E$27</f>
        <v>6.8449999999999998</v>
      </c>
      <c r="C15" s="51">
        <f>[23]실험기록부!$C$10</f>
        <v>7.3949999999999996</v>
      </c>
      <c r="D15" s="52">
        <f>[23]실험기록부!$D$10</f>
        <v>0</v>
      </c>
      <c r="E15" s="53">
        <f>[23]실험기록부!$E$10</f>
        <v>13.199999999999989</v>
      </c>
      <c r="F15" s="48">
        <f>[23]실험기록부!$F$10</f>
        <v>9.0429599999999972</v>
      </c>
      <c r="G15" s="48">
        <f>[23]실험기록부!$G$10</f>
        <v>0.16391999999999998</v>
      </c>
      <c r="H15" s="47">
        <f>[23]실험기록부!$H$10</f>
        <v>810</v>
      </c>
      <c r="I15" s="27"/>
      <c r="K15" s="65">
        <f t="shared" si="1"/>
        <v>6.8449999999999998</v>
      </c>
      <c r="L15" s="66">
        <f t="shared" si="2"/>
        <v>7.3949999999999996</v>
      </c>
      <c r="M15" s="66" t="str">
        <f t="shared" si="3"/>
        <v/>
      </c>
      <c r="N15" s="66">
        <f t="shared" si="4"/>
        <v>13.199999999999989</v>
      </c>
      <c r="O15" s="66">
        <f t="shared" si="5"/>
        <v>9.0429599999999972</v>
      </c>
      <c r="P15" s="66">
        <f t="shared" si="6"/>
        <v>0.16391999999999998</v>
      </c>
      <c r="Q15" s="67">
        <f t="shared" si="7"/>
        <v>810</v>
      </c>
      <c r="R15" s="65" t="str">
        <f t="shared" si="8"/>
        <v/>
      </c>
    </row>
    <row r="16" spans="1:18" ht="20.100000000000001" customHeight="1">
      <c r="A16" s="25">
        <f>[25]일반사항!$B$4</f>
        <v>44268</v>
      </c>
      <c r="B16" s="58">
        <f>[25]일반사항!$E$27</f>
        <v>0</v>
      </c>
      <c r="C16" s="51">
        <f>[25]실험기록부!$C$10</f>
        <v>0</v>
      </c>
      <c r="D16" s="52">
        <f>[25]실험기록부!$D$10</f>
        <v>0</v>
      </c>
      <c r="E16" s="53">
        <f>[25]실험기록부!$E$10</f>
        <v>0</v>
      </c>
      <c r="F16" s="48">
        <f>[25]실험기록부!$F$10</f>
        <v>0</v>
      </c>
      <c r="G16" s="48">
        <f>[25]실험기록부!$G$10</f>
        <v>0</v>
      </c>
      <c r="H16" s="47">
        <f>[25]실험기록부!$H$10</f>
        <v>0</v>
      </c>
      <c r="I16" s="27"/>
      <c r="K16" s="65" t="str">
        <f t="shared" si="1"/>
        <v/>
      </c>
      <c r="L16" s="66" t="str">
        <f t="shared" si="2"/>
        <v/>
      </c>
      <c r="M16" s="66" t="str">
        <f t="shared" si="3"/>
        <v/>
      </c>
      <c r="N16" s="66" t="str">
        <f t="shared" si="4"/>
        <v/>
      </c>
      <c r="O16" s="66" t="str">
        <f t="shared" si="5"/>
        <v/>
      </c>
      <c r="P16" s="66" t="str">
        <f t="shared" si="6"/>
        <v/>
      </c>
      <c r="Q16" s="67" t="str">
        <f t="shared" si="7"/>
        <v/>
      </c>
      <c r="R16" s="65" t="str">
        <f t="shared" si="8"/>
        <v/>
      </c>
    </row>
    <row r="17" spans="1:18" ht="20.100000000000001" customHeight="1">
      <c r="A17" s="25">
        <f>[27]일반사항!$B$4</f>
        <v>44269</v>
      </c>
      <c r="B17" s="58">
        <f>[27]일반사항!$E$27</f>
        <v>0</v>
      </c>
      <c r="C17" s="51">
        <f>[27]실험기록부!$C$10</f>
        <v>0</v>
      </c>
      <c r="D17" s="52">
        <f>[27]실험기록부!$D$10</f>
        <v>0</v>
      </c>
      <c r="E17" s="53">
        <f>[27]실험기록부!$E$10</f>
        <v>0</v>
      </c>
      <c r="F17" s="48">
        <f>[27]실험기록부!$F$10</f>
        <v>0</v>
      </c>
      <c r="G17" s="48">
        <f>[27]실험기록부!$G$10</f>
        <v>0</v>
      </c>
      <c r="H17" s="47">
        <f>[27]실험기록부!$H$10</f>
        <v>0</v>
      </c>
      <c r="I17" s="27"/>
      <c r="K17" s="65" t="str">
        <f t="shared" si="1"/>
        <v/>
      </c>
      <c r="L17" s="66" t="str">
        <f t="shared" si="2"/>
        <v/>
      </c>
      <c r="M17" s="66" t="str">
        <f t="shared" si="3"/>
        <v/>
      </c>
      <c r="N17" s="66" t="str">
        <f t="shared" si="4"/>
        <v/>
      </c>
      <c r="O17" s="66" t="str">
        <f t="shared" si="5"/>
        <v/>
      </c>
      <c r="P17" s="66" t="str">
        <f t="shared" si="6"/>
        <v/>
      </c>
      <c r="Q17" s="67" t="str">
        <f t="shared" si="7"/>
        <v/>
      </c>
      <c r="R17" s="65" t="str">
        <f t="shared" si="8"/>
        <v/>
      </c>
    </row>
    <row r="18" spans="1:18" ht="20.100000000000001" customHeight="1">
      <c r="A18" s="25">
        <f>[29]일반사항!$B$4</f>
        <v>44270</v>
      </c>
      <c r="B18" s="58">
        <f>[29]일반사항!$E$27</f>
        <v>6.85</v>
      </c>
      <c r="C18" s="51">
        <f>[29]실험기록부!$C$10</f>
        <v>7.5149999999999988</v>
      </c>
      <c r="D18" s="52">
        <f>[29]실험기록부!$D$10</f>
        <v>36.524297877095002</v>
      </c>
      <c r="E18" s="53">
        <f>[29]실험기록부!$E$10</f>
        <v>10.400000000000034</v>
      </c>
      <c r="F18" s="48">
        <f>[29]실험기록부!$F$10</f>
        <v>7.34328</v>
      </c>
      <c r="G18" s="48">
        <f>[29]실험기록부!$G$10</f>
        <v>0.13713600000000001</v>
      </c>
      <c r="H18" s="47">
        <f>[29]실험기록부!$H$10</f>
        <v>610</v>
      </c>
      <c r="I18" s="27"/>
      <c r="K18" s="65">
        <f t="shared" si="1"/>
        <v>6.85</v>
      </c>
      <c r="L18" s="66">
        <f t="shared" si="2"/>
        <v>7.5149999999999988</v>
      </c>
      <c r="M18" s="66">
        <f t="shared" si="3"/>
        <v>36.524297877095002</v>
      </c>
      <c r="N18" s="66">
        <f t="shared" si="4"/>
        <v>10.400000000000034</v>
      </c>
      <c r="O18" s="66">
        <f t="shared" si="5"/>
        <v>7.34328</v>
      </c>
      <c r="P18" s="66">
        <f t="shared" si="6"/>
        <v>0.13713600000000001</v>
      </c>
      <c r="Q18" s="67">
        <f t="shared" si="7"/>
        <v>610</v>
      </c>
      <c r="R18" s="65" t="str">
        <f t="shared" si="8"/>
        <v/>
      </c>
    </row>
    <row r="19" spans="1:18" ht="20.100000000000001" customHeight="1">
      <c r="A19" s="25">
        <f>[31]일반사항!$B$4</f>
        <v>44271</v>
      </c>
      <c r="B19" s="58">
        <f>[31]일반사항!$E$27</f>
        <v>6.8049999999999997</v>
      </c>
      <c r="C19" s="51">
        <f>[31]실험기록부!$C$10</f>
        <v>7.6650000000000009</v>
      </c>
      <c r="D19" s="52">
        <f>[31]실험기록부!$D$10</f>
        <v>20.714902457825001</v>
      </c>
      <c r="E19" s="53">
        <f>[31]실험기록부!$E$10</f>
        <v>10.400000000000034</v>
      </c>
      <c r="F19" s="48">
        <f>[31]실험기록부!$F$10</f>
        <v>8.9976000000000003</v>
      </c>
      <c r="G19" s="48">
        <f>[31]실험기록부!$G$10</f>
        <v>0.16382399999999997</v>
      </c>
      <c r="H19" s="47">
        <f>[31]실험기록부!$H$10</f>
        <v>610</v>
      </c>
      <c r="I19" s="27"/>
      <c r="K19" s="65">
        <f t="shared" si="1"/>
        <v>6.8049999999999997</v>
      </c>
      <c r="L19" s="66">
        <f t="shared" si="2"/>
        <v>7.6650000000000009</v>
      </c>
      <c r="M19" s="66">
        <f t="shared" si="3"/>
        <v>20.714902457825001</v>
      </c>
      <c r="N19" s="66">
        <f t="shared" si="4"/>
        <v>10.400000000000034</v>
      </c>
      <c r="O19" s="66">
        <f t="shared" si="5"/>
        <v>8.9976000000000003</v>
      </c>
      <c r="P19" s="66">
        <f t="shared" si="6"/>
        <v>0.16382399999999997</v>
      </c>
      <c r="Q19" s="67">
        <f t="shared" si="7"/>
        <v>610</v>
      </c>
      <c r="R19" s="65" t="str">
        <f t="shared" si="8"/>
        <v/>
      </c>
    </row>
    <row r="20" spans="1:18" ht="20.100000000000001" customHeight="1">
      <c r="A20" s="25">
        <f>[33]일반사항!$B$4</f>
        <v>44272</v>
      </c>
      <c r="B20" s="58">
        <f>[33]일반사항!$E$27</f>
        <v>6.8049999999999997</v>
      </c>
      <c r="C20" s="51">
        <f>[33]실험기록부!$C$10</f>
        <v>7.1849999999999987</v>
      </c>
      <c r="D20" s="52">
        <f>[33]실험기록부!$D$10</f>
        <v>7.9297302585000002</v>
      </c>
      <c r="E20" s="53">
        <f>[33]실험기록부!$E$10</f>
        <v>12.400000000000034</v>
      </c>
      <c r="F20" s="48">
        <f>[33]실험기록부!$F$10</f>
        <v>9.4492799999999999</v>
      </c>
      <c r="G20" s="48">
        <f>[33]실험기록부!$G$10</f>
        <v>0.17059199999999999</v>
      </c>
      <c r="H20" s="47">
        <f>[33]실험기록부!$H$10</f>
        <v>810</v>
      </c>
      <c r="I20" s="27"/>
      <c r="K20" s="65">
        <f t="shared" si="1"/>
        <v>6.8049999999999997</v>
      </c>
      <c r="L20" s="66">
        <f t="shared" si="2"/>
        <v>7.1849999999999987</v>
      </c>
      <c r="M20" s="66">
        <f t="shared" si="3"/>
        <v>7.9297302585000002</v>
      </c>
      <c r="N20" s="66">
        <f t="shared" si="4"/>
        <v>12.400000000000034</v>
      </c>
      <c r="O20" s="66">
        <f t="shared" si="5"/>
        <v>9.4492799999999999</v>
      </c>
      <c r="P20" s="66">
        <f t="shared" si="6"/>
        <v>0.17059199999999999</v>
      </c>
      <c r="Q20" s="67">
        <f t="shared" si="7"/>
        <v>810</v>
      </c>
      <c r="R20" s="65" t="str">
        <f t="shared" si="8"/>
        <v/>
      </c>
    </row>
    <row r="21" spans="1:18" ht="20.100000000000001" customHeight="1">
      <c r="A21" s="25">
        <f>[35]일반사항!$B$4</f>
        <v>44273</v>
      </c>
      <c r="B21" s="58">
        <f>[35]일반사항!$E$27</f>
        <v>6.8149999999999995</v>
      </c>
      <c r="C21" s="51">
        <f>[35]실험기록부!$C$10</f>
        <v>7.2750000000000004</v>
      </c>
      <c r="D21" s="52">
        <f>[35]실험기록부!$D$10</f>
        <v>15.727972286250001</v>
      </c>
      <c r="E21" s="53">
        <f>[35]실험기록부!$E$10</f>
        <v>10.400000000000034</v>
      </c>
      <c r="F21" s="48">
        <f>[35]실험기록부!$F$10</f>
        <v>10.16736</v>
      </c>
      <c r="G21" s="48">
        <f>[35]실험기록부!$G$10</f>
        <v>0.14510400000000001</v>
      </c>
      <c r="H21" s="47">
        <f>[35]실험기록부!$H$10</f>
        <v>610</v>
      </c>
      <c r="I21" s="27"/>
      <c r="K21" s="65">
        <f t="shared" si="1"/>
        <v>6.8149999999999995</v>
      </c>
      <c r="L21" s="66">
        <f t="shared" si="2"/>
        <v>7.2750000000000004</v>
      </c>
      <c r="M21" s="66">
        <f t="shared" si="3"/>
        <v>15.727972286250001</v>
      </c>
      <c r="N21" s="66">
        <f t="shared" si="4"/>
        <v>10.400000000000034</v>
      </c>
      <c r="O21" s="66">
        <f t="shared" si="5"/>
        <v>10.16736</v>
      </c>
      <c r="P21" s="66">
        <f t="shared" si="6"/>
        <v>0.14510400000000001</v>
      </c>
      <c r="Q21" s="67">
        <f t="shared" si="7"/>
        <v>610</v>
      </c>
      <c r="R21" s="65"/>
    </row>
    <row r="22" spans="1:18" ht="20.100000000000001" customHeight="1">
      <c r="A22" s="25">
        <f>[37]일반사항!$B$4</f>
        <v>44274</v>
      </c>
      <c r="B22" s="58">
        <f>[37]일반사항!$E$27</f>
        <v>6.8149999999999995</v>
      </c>
      <c r="C22" s="51">
        <f>[37]실험기록부!$C$10</f>
        <v>7.4999999999999982</v>
      </c>
      <c r="D22" s="52">
        <f>[37]실험기록부!$D$10</f>
        <v>0</v>
      </c>
      <c r="E22" s="53">
        <f>[37]실험기록부!$E$10</f>
        <v>12.400000000000034</v>
      </c>
      <c r="F22" s="48">
        <f>[37]실험기록부!$F$10</f>
        <v>10.801439999999999</v>
      </c>
      <c r="G22" s="48">
        <f>[37]실험기록부!$G$10</f>
        <v>0.20121600000000003</v>
      </c>
      <c r="H22" s="47">
        <f>[37]실험기록부!$H$10</f>
        <v>550</v>
      </c>
      <c r="I22" s="27"/>
      <c r="K22" s="65">
        <f t="shared" si="1"/>
        <v>6.8149999999999995</v>
      </c>
      <c r="L22" s="66">
        <f t="shared" si="2"/>
        <v>7.4999999999999982</v>
      </c>
      <c r="M22" s="66" t="str">
        <f t="shared" si="3"/>
        <v/>
      </c>
      <c r="N22" s="66">
        <f t="shared" si="4"/>
        <v>12.400000000000034</v>
      </c>
      <c r="O22" s="66">
        <f t="shared" si="5"/>
        <v>10.801439999999999</v>
      </c>
      <c r="P22" s="66">
        <f t="shared" si="6"/>
        <v>0.20121600000000003</v>
      </c>
      <c r="Q22" s="67">
        <f t="shared" si="7"/>
        <v>550</v>
      </c>
      <c r="R22" s="65"/>
    </row>
    <row r="23" spans="1:18" ht="20.100000000000001" customHeight="1">
      <c r="A23" s="25">
        <f>[39]일반사항!$B$4</f>
        <v>44275</v>
      </c>
      <c r="B23" s="58">
        <f>[39]일반사항!$E$27</f>
        <v>0</v>
      </c>
      <c r="C23" s="51">
        <f>[39]실험기록부!$C$10</f>
        <v>0</v>
      </c>
      <c r="D23" s="52">
        <f>[39]실험기록부!$D$10</f>
        <v>0</v>
      </c>
      <c r="E23" s="53">
        <f>[39]실험기록부!$E$10</f>
        <v>0</v>
      </c>
      <c r="F23" s="48">
        <f>[39]실험기록부!$F$10</f>
        <v>0</v>
      </c>
      <c r="G23" s="48">
        <f>[39]실험기록부!$G$10</f>
        <v>0</v>
      </c>
      <c r="H23" s="47">
        <f>[39]실험기록부!$H$10</f>
        <v>0</v>
      </c>
      <c r="I23" s="27"/>
      <c r="K23" s="65" t="str">
        <f t="shared" si="1"/>
        <v/>
      </c>
      <c r="L23" s="66" t="str">
        <f t="shared" si="2"/>
        <v/>
      </c>
      <c r="M23" s="66" t="str">
        <f t="shared" si="3"/>
        <v/>
      </c>
      <c r="N23" s="66" t="str">
        <f t="shared" si="4"/>
        <v/>
      </c>
      <c r="O23" s="66" t="str">
        <f t="shared" si="5"/>
        <v/>
      </c>
      <c r="P23" s="66" t="str">
        <f t="shared" si="6"/>
        <v/>
      </c>
      <c r="Q23" s="67" t="str">
        <f t="shared" si="7"/>
        <v/>
      </c>
      <c r="R23" s="65"/>
    </row>
    <row r="24" spans="1:18" ht="20.100000000000001" customHeight="1">
      <c r="A24" s="25">
        <f>[41]일반사항!$B$4</f>
        <v>44276</v>
      </c>
      <c r="B24" s="58">
        <f>[41]일반사항!$E$27</f>
        <v>0</v>
      </c>
      <c r="C24" s="51">
        <f>[41]실험기록부!$C$10</f>
        <v>0</v>
      </c>
      <c r="D24" s="52">
        <f>[41]실험기록부!$D$10</f>
        <v>0</v>
      </c>
      <c r="E24" s="53">
        <f>[41]실험기록부!$E$10</f>
        <v>0</v>
      </c>
      <c r="F24" s="48">
        <f>[41]실험기록부!$F$10</f>
        <v>0</v>
      </c>
      <c r="G24" s="48">
        <f>[41]실험기록부!$G$10</f>
        <v>0</v>
      </c>
      <c r="H24" s="47">
        <f>[41]실험기록부!$H$10</f>
        <v>0</v>
      </c>
      <c r="I24" s="27"/>
      <c r="K24" s="65" t="str">
        <f t="shared" si="1"/>
        <v/>
      </c>
      <c r="L24" s="66" t="str">
        <f t="shared" si="2"/>
        <v/>
      </c>
      <c r="M24" s="66" t="str">
        <f t="shared" si="3"/>
        <v/>
      </c>
      <c r="N24" s="66" t="str">
        <f t="shared" si="4"/>
        <v/>
      </c>
      <c r="O24" s="66" t="str">
        <f t="shared" si="5"/>
        <v/>
      </c>
      <c r="P24" s="66" t="str">
        <f t="shared" si="6"/>
        <v/>
      </c>
      <c r="Q24" s="67" t="str">
        <f t="shared" si="7"/>
        <v/>
      </c>
      <c r="R24" s="65"/>
    </row>
    <row r="25" spans="1:18" ht="20.100000000000001" customHeight="1">
      <c r="A25" s="25">
        <f>[43]일반사항!$B$4</f>
        <v>44277</v>
      </c>
      <c r="B25" s="58">
        <f>[43]일반사항!$E$27</f>
        <v>6.8449999999999998</v>
      </c>
      <c r="C25" s="51">
        <f>[43]실험기록부!$C$10</f>
        <v>8.2949999999999982</v>
      </c>
      <c r="D25" s="52">
        <f>[43]실험기록부!$D$10</f>
        <v>22.557631466025001</v>
      </c>
      <c r="E25" s="53">
        <f>[43]실험기록부!$E$10</f>
        <v>10.800000000000011</v>
      </c>
      <c r="F25" s="48">
        <f>[43]실험기록부!$F$10</f>
        <v>8.115359999999999</v>
      </c>
      <c r="G25" s="48">
        <f>[43]실험기록부!$G$10</f>
        <v>0.83510400000000007</v>
      </c>
      <c r="H25" s="47">
        <f>[43]실험기록부!$H$10</f>
        <v>810</v>
      </c>
      <c r="I25" s="27"/>
      <c r="K25" s="65">
        <f t="shared" si="1"/>
        <v>6.8449999999999998</v>
      </c>
      <c r="L25" s="66">
        <f t="shared" si="2"/>
        <v>8.2949999999999982</v>
      </c>
      <c r="M25" s="66">
        <f t="shared" si="3"/>
        <v>22.557631466025001</v>
      </c>
      <c r="N25" s="66">
        <f t="shared" si="4"/>
        <v>10.800000000000011</v>
      </c>
      <c r="O25" s="66">
        <f t="shared" si="5"/>
        <v>8.115359999999999</v>
      </c>
      <c r="P25" s="66">
        <f t="shared" si="6"/>
        <v>0.83510400000000007</v>
      </c>
      <c r="Q25" s="67">
        <f t="shared" si="7"/>
        <v>810</v>
      </c>
      <c r="R25" s="65"/>
    </row>
    <row r="26" spans="1:18" ht="20.100000000000001" customHeight="1">
      <c r="A26" s="25">
        <f>[45]일반사항!$B$4</f>
        <v>44278</v>
      </c>
      <c r="B26" s="58">
        <f>[45]일반사항!$E$27</f>
        <v>6.85</v>
      </c>
      <c r="C26" s="51">
        <f>[45]실험기록부!$C$10</f>
        <v>8.0849999999999991</v>
      </c>
      <c r="D26" s="52">
        <f>[45]실험기록부!$D$10</f>
        <v>23.468647480400001</v>
      </c>
      <c r="E26" s="53">
        <f>[45]실험기록부!$E$10</f>
        <v>9.5999999999999659</v>
      </c>
      <c r="F26" s="48">
        <f>[45]실험기록부!$F$10</f>
        <v>8.7820800000000006</v>
      </c>
      <c r="G26" s="48">
        <f>[45]실험기록부!$G$10</f>
        <v>0.14563199999999998</v>
      </c>
      <c r="H26" s="47">
        <f>[45]실험기록부!$H$10</f>
        <v>780</v>
      </c>
      <c r="I26" s="27"/>
      <c r="K26" s="65">
        <f t="shared" si="1"/>
        <v>6.85</v>
      </c>
      <c r="L26" s="66">
        <f t="shared" si="2"/>
        <v>8.0849999999999991</v>
      </c>
      <c r="M26" s="66">
        <f t="shared" si="3"/>
        <v>23.468647480400001</v>
      </c>
      <c r="N26" s="66">
        <f t="shared" si="4"/>
        <v>9.5999999999999659</v>
      </c>
      <c r="O26" s="66">
        <f t="shared" si="5"/>
        <v>8.7820800000000006</v>
      </c>
      <c r="P26" s="66">
        <f t="shared" si="6"/>
        <v>0.14563199999999998</v>
      </c>
      <c r="Q26" s="67">
        <f t="shared" si="7"/>
        <v>780</v>
      </c>
      <c r="R26" s="65"/>
    </row>
    <row r="27" spans="1:18" ht="20.100000000000001" customHeight="1">
      <c r="A27" s="25">
        <f>[47]일반사항!$B$4</f>
        <v>44279</v>
      </c>
      <c r="B27" s="58">
        <f>[47]일반사항!$E$27</f>
        <v>6.8449999999999998</v>
      </c>
      <c r="C27" s="51">
        <f>[47]실험기록부!$C$10</f>
        <v>8.504999999999999</v>
      </c>
      <c r="D27" s="52">
        <f>[47]실험기록부!$D$10</f>
        <v>25.380724890989999</v>
      </c>
      <c r="E27" s="53">
        <f>[47]실험기록부!$E$10</f>
        <v>12.400000000000034</v>
      </c>
      <c r="F27" s="48">
        <f>[47]실험기록부!$F$10</f>
        <v>15.298559999999998</v>
      </c>
      <c r="G27" s="48">
        <f>[47]실험기록부!$G$10</f>
        <v>1.2428159999999999</v>
      </c>
      <c r="H27" s="47">
        <f>[47]실험기록부!$H$10</f>
        <v>680</v>
      </c>
      <c r="I27" s="27"/>
      <c r="K27" s="65">
        <f t="shared" si="1"/>
        <v>6.8449999999999998</v>
      </c>
      <c r="L27" s="66">
        <f t="shared" si="2"/>
        <v>8.504999999999999</v>
      </c>
      <c r="M27" s="66">
        <f t="shared" si="3"/>
        <v>25.380724890989999</v>
      </c>
      <c r="N27" s="66">
        <f t="shared" si="4"/>
        <v>12.400000000000034</v>
      </c>
      <c r="O27" s="66">
        <f t="shared" si="5"/>
        <v>15.298559999999998</v>
      </c>
      <c r="P27" s="66">
        <f t="shared" si="6"/>
        <v>1.2428159999999999</v>
      </c>
      <c r="Q27" s="67">
        <f t="shared" si="7"/>
        <v>680</v>
      </c>
      <c r="R27" s="65"/>
    </row>
    <row r="28" spans="1:18" ht="20.100000000000001" customHeight="1">
      <c r="A28" s="25">
        <f>[49]일반사항!$B$4</f>
        <v>44280</v>
      </c>
      <c r="B28" s="58">
        <f>[49]일반사항!$E$27</f>
        <v>6.7949999999999999</v>
      </c>
      <c r="C28" s="51">
        <f>[49]실험기록부!$C$10</f>
        <v>8.3550000000000004</v>
      </c>
      <c r="D28" s="52">
        <f>[49]실험기록부!$D$10</f>
        <v>26.157025806389999</v>
      </c>
      <c r="E28" s="53">
        <f>[49]실험기록부!$E$10</f>
        <v>12.400000000000034</v>
      </c>
      <c r="F28" s="48">
        <f>[49]실험기록부!$F$10</f>
        <v>14.494560000000002</v>
      </c>
      <c r="G28" s="48">
        <f>[49]실험기록부!$G$10</f>
        <v>1.4140800000000002</v>
      </c>
      <c r="H28" s="47">
        <f>[49]실험기록부!$H$10</f>
        <v>810</v>
      </c>
      <c r="I28" s="27"/>
      <c r="J28" s="14"/>
      <c r="K28" s="65">
        <f t="shared" si="1"/>
        <v>6.7949999999999999</v>
      </c>
      <c r="L28" s="66">
        <f t="shared" si="2"/>
        <v>8.3550000000000004</v>
      </c>
      <c r="M28" s="66">
        <f t="shared" si="3"/>
        <v>26.157025806389999</v>
      </c>
      <c r="N28" s="66">
        <f t="shared" si="4"/>
        <v>12.400000000000034</v>
      </c>
      <c r="O28" s="66">
        <f t="shared" si="5"/>
        <v>14.494560000000002</v>
      </c>
      <c r="P28" s="66">
        <f t="shared" si="6"/>
        <v>1.4140800000000002</v>
      </c>
      <c r="Q28" s="67">
        <f t="shared" si="7"/>
        <v>810</v>
      </c>
      <c r="R28" s="65"/>
    </row>
    <row r="29" spans="1:18" ht="20.100000000000001" customHeight="1">
      <c r="A29" s="25">
        <f>[51]일반사항!$B$4</f>
        <v>44281</v>
      </c>
      <c r="B29" s="58">
        <f>[51]일반사항!$E$27</f>
        <v>6.7949999999999999</v>
      </c>
      <c r="C29" s="51">
        <f>[51]실험기록부!$C$10</f>
        <v>8.8800000000000008</v>
      </c>
      <c r="D29" s="52">
        <f>[51]실험기록부!$D$10</f>
        <v>0</v>
      </c>
      <c r="E29" s="53">
        <f>[51]실험기록부!$E$10</f>
        <v>10.400000000000034</v>
      </c>
      <c r="F29" s="48">
        <f>[51]실험기록부!$F$10</f>
        <v>9.1190400000000018</v>
      </c>
      <c r="G29" s="48">
        <f>[51]실험기록부!$G$10</f>
        <v>0.86611199999999999</v>
      </c>
      <c r="H29" s="47">
        <f>[51]실험기록부!$H$10</f>
        <v>630</v>
      </c>
      <c r="I29" s="27"/>
      <c r="K29" s="65">
        <f t="shared" si="1"/>
        <v>6.7949999999999999</v>
      </c>
      <c r="L29" s="66">
        <f t="shared" si="2"/>
        <v>8.8800000000000008</v>
      </c>
      <c r="M29" s="66" t="str">
        <f t="shared" si="3"/>
        <v/>
      </c>
      <c r="N29" s="66">
        <f t="shared" si="4"/>
        <v>10.400000000000034</v>
      </c>
      <c r="O29" s="66">
        <f t="shared" si="5"/>
        <v>9.1190400000000018</v>
      </c>
      <c r="P29" s="66">
        <f t="shared" si="6"/>
        <v>0.86611199999999999</v>
      </c>
      <c r="Q29" s="67">
        <f t="shared" si="7"/>
        <v>630</v>
      </c>
      <c r="R29" s="65"/>
    </row>
    <row r="30" spans="1:18" ht="20.100000000000001" customHeight="1">
      <c r="A30" s="25">
        <f>[53]일반사항!$B$4</f>
        <v>44282</v>
      </c>
      <c r="B30" s="58">
        <f>[53]일반사항!$E$27</f>
        <v>0</v>
      </c>
      <c r="C30" s="51">
        <f>[53]실험기록부!$C$10</f>
        <v>0</v>
      </c>
      <c r="D30" s="52">
        <f>[53]실험기록부!$D$10</f>
        <v>0</v>
      </c>
      <c r="E30" s="53">
        <f>[53]실험기록부!$E$10</f>
        <v>0</v>
      </c>
      <c r="F30" s="48">
        <f>[53]실험기록부!$F$10</f>
        <v>0</v>
      </c>
      <c r="G30" s="48">
        <f>[53]실험기록부!$G$10</f>
        <v>0</v>
      </c>
      <c r="H30" s="47">
        <f>[53]실험기록부!$H$10</f>
        <v>0</v>
      </c>
      <c r="I30" s="27"/>
      <c r="K30" s="65" t="str">
        <f t="shared" si="1"/>
        <v/>
      </c>
      <c r="L30" s="66" t="str">
        <f t="shared" si="2"/>
        <v/>
      </c>
      <c r="M30" s="66" t="str">
        <f t="shared" si="3"/>
        <v/>
      </c>
      <c r="N30" s="66" t="str">
        <f t="shared" si="4"/>
        <v/>
      </c>
      <c r="O30" s="66" t="str">
        <f t="shared" si="5"/>
        <v/>
      </c>
      <c r="P30" s="66" t="str">
        <f t="shared" si="6"/>
        <v/>
      </c>
      <c r="Q30" s="67" t="str">
        <f t="shared" si="7"/>
        <v/>
      </c>
      <c r="R30" s="65"/>
    </row>
    <row r="31" spans="1:18" ht="20.100000000000001" customHeight="1">
      <c r="A31" s="25">
        <f>[55]일반사항!$B$4</f>
        <v>44283</v>
      </c>
      <c r="B31" s="58">
        <f>[55]일반사항!$E$27</f>
        <v>0</v>
      </c>
      <c r="C31" s="51">
        <f>[55]실험기록부!$C$10</f>
        <v>0</v>
      </c>
      <c r="D31" s="52">
        <f>[55]실험기록부!$D$10</f>
        <v>0</v>
      </c>
      <c r="E31" s="53">
        <f>[55]실험기록부!$E$10</f>
        <v>0</v>
      </c>
      <c r="F31" s="48">
        <f>[55]실험기록부!$F$10</f>
        <v>0</v>
      </c>
      <c r="G31" s="48">
        <f>[55]실험기록부!$G$10</f>
        <v>0</v>
      </c>
      <c r="H31" s="47">
        <f>[55]실험기록부!$H$10</f>
        <v>0</v>
      </c>
      <c r="I31" s="27"/>
      <c r="K31" s="65" t="str">
        <f t="shared" si="1"/>
        <v/>
      </c>
      <c r="L31" s="66" t="str">
        <f t="shared" si="2"/>
        <v/>
      </c>
      <c r="M31" s="66" t="str">
        <f t="shared" si="3"/>
        <v/>
      </c>
      <c r="N31" s="66" t="str">
        <f t="shared" si="4"/>
        <v/>
      </c>
      <c r="O31" s="66" t="str">
        <f t="shared" si="5"/>
        <v/>
      </c>
      <c r="P31" s="66" t="str">
        <f t="shared" si="6"/>
        <v/>
      </c>
      <c r="Q31" s="67" t="str">
        <f t="shared" si="7"/>
        <v/>
      </c>
      <c r="R31" s="65"/>
    </row>
    <row r="32" spans="1:18" ht="20.100000000000001" customHeight="1">
      <c r="A32" s="25">
        <f>[57]일반사항!$B$4</f>
        <v>44284</v>
      </c>
      <c r="B32" s="58">
        <f>[57]일반사항!$E$27</f>
        <v>6.8049999999999997</v>
      </c>
      <c r="C32" s="51">
        <f>[57]실험기록부!$C$10</f>
        <v>7.6499999999999995</v>
      </c>
      <c r="D32" s="52">
        <f>[57]실험기록부!$D$10</f>
        <v>12.359464865111001</v>
      </c>
      <c r="E32" s="53">
        <f>[57]실험기록부!$E$10</f>
        <v>11.200000000000045</v>
      </c>
      <c r="F32" s="48">
        <f>[57]실험기록부!$F$10</f>
        <v>15.324000000000002</v>
      </c>
      <c r="G32" s="48">
        <f>[57]실험기록부!$G$10</f>
        <v>1.2521280000000001</v>
      </c>
      <c r="H32" s="47">
        <f>[57]실험기록부!$H$10</f>
        <v>610</v>
      </c>
      <c r="I32" s="27"/>
      <c r="K32" s="65">
        <f t="shared" si="1"/>
        <v>6.8049999999999997</v>
      </c>
      <c r="L32" s="66">
        <f t="shared" si="2"/>
        <v>7.6499999999999995</v>
      </c>
      <c r="M32" s="66">
        <f t="shared" si="3"/>
        <v>12.359464865111001</v>
      </c>
      <c r="N32" s="66">
        <f t="shared" si="4"/>
        <v>11.200000000000045</v>
      </c>
      <c r="O32" s="66">
        <f t="shared" si="5"/>
        <v>15.324000000000002</v>
      </c>
      <c r="P32" s="66">
        <f t="shared" si="6"/>
        <v>1.2521280000000001</v>
      </c>
      <c r="Q32" s="67">
        <f t="shared" si="7"/>
        <v>610</v>
      </c>
      <c r="R32" s="65"/>
    </row>
    <row r="33" spans="1:18" ht="20.100000000000001" customHeight="1">
      <c r="A33" s="25">
        <f>[59]일반사항!$B$4</f>
        <v>44285</v>
      </c>
      <c r="B33" s="58">
        <f>[59]일반사항!$E$27</f>
        <v>6.8049999999999997</v>
      </c>
      <c r="C33" s="51">
        <f>[59]실험기록부!$C$10</f>
        <v>7.7399999999999984</v>
      </c>
      <c r="D33" s="52">
        <f>[59]실험기록부!$D$10</f>
        <v>26.571224556065999</v>
      </c>
      <c r="E33" s="53">
        <f>[59]실험기록부!$E$10</f>
        <v>10.800000000000011</v>
      </c>
      <c r="F33" s="48">
        <f>[59]실험기록부!$F$10</f>
        <v>12.57648</v>
      </c>
      <c r="G33" s="48">
        <f>[59]실험기록부!$G$10</f>
        <v>1.2604799999999998</v>
      </c>
      <c r="H33" s="47">
        <f>[59]실험기록부!$H$10</f>
        <v>610</v>
      </c>
      <c r="I33" s="27"/>
      <c r="K33" s="65">
        <f t="shared" si="1"/>
        <v>6.8049999999999997</v>
      </c>
      <c r="L33" s="66">
        <f t="shared" si="2"/>
        <v>7.7399999999999984</v>
      </c>
      <c r="M33" s="66">
        <f t="shared" si="3"/>
        <v>26.571224556065999</v>
      </c>
      <c r="N33" s="66">
        <f t="shared" si="4"/>
        <v>10.800000000000011</v>
      </c>
      <c r="O33" s="66">
        <f t="shared" si="5"/>
        <v>12.57648</v>
      </c>
      <c r="P33" s="66">
        <f t="shared" si="6"/>
        <v>1.2604799999999998</v>
      </c>
      <c r="Q33" s="67">
        <f t="shared" si="7"/>
        <v>610</v>
      </c>
      <c r="R33" s="65"/>
    </row>
    <row r="34" spans="1:18" ht="20.100000000000001" customHeight="1" thickBot="1">
      <c r="A34" s="28">
        <f>[61]일반사항!$B$4</f>
        <v>44286</v>
      </c>
      <c r="B34" s="59">
        <f>[61]일반사항!$E$27</f>
        <v>6.8149999999999995</v>
      </c>
      <c r="C34" s="54">
        <f>[61]실험기록부!$C$10</f>
        <v>8.7900000000000009</v>
      </c>
      <c r="D34" s="55">
        <f>[61]실험기록부!$D$10</f>
        <v>23.778512838165</v>
      </c>
      <c r="E34" s="56">
        <f>[61]실험기록부!$E$10</f>
        <v>10.399999999999979</v>
      </c>
      <c r="F34" s="49">
        <f>[61]실험기록부!$F$10</f>
        <v>14.35008</v>
      </c>
      <c r="G34" s="49">
        <f>[61]실험기록부!$G$10</f>
        <v>1.3554240000000002</v>
      </c>
      <c r="H34" s="50">
        <f>[61]실험기록부!$H$10</f>
        <v>610</v>
      </c>
      <c r="I34" s="34"/>
      <c r="K34" s="68">
        <f t="shared" si="1"/>
        <v>6.8149999999999995</v>
      </c>
      <c r="L34" s="69">
        <f t="shared" si="2"/>
        <v>8.7900000000000009</v>
      </c>
      <c r="M34" s="69">
        <f t="shared" si="3"/>
        <v>23.778512838165</v>
      </c>
      <c r="N34" s="69">
        <f t="shared" si="4"/>
        <v>10.399999999999979</v>
      </c>
      <c r="O34" s="69">
        <f t="shared" si="5"/>
        <v>14.35008</v>
      </c>
      <c r="P34" s="69">
        <f t="shared" si="6"/>
        <v>1.3554240000000002</v>
      </c>
      <c r="Q34" s="70">
        <f t="shared" si="7"/>
        <v>610</v>
      </c>
      <c r="R34" s="65"/>
    </row>
    <row r="35" spans="1:18" ht="20.100000000000001" customHeight="1" thickTop="1">
      <c r="A35" s="15" t="s">
        <v>0</v>
      </c>
      <c r="B35" s="71">
        <f>MAX(B4:B34)</f>
        <v>6.85</v>
      </c>
      <c r="C35" s="72">
        <f t="shared" ref="C35:H35" si="9">MAX(C4:C34)</f>
        <v>9.3150000000000013</v>
      </c>
      <c r="D35" s="72">
        <f t="shared" si="9"/>
        <v>44.453822362849998</v>
      </c>
      <c r="E35" s="72">
        <f t="shared" si="9"/>
        <v>14</v>
      </c>
      <c r="F35" s="73">
        <f t="shared" si="9"/>
        <v>15.324000000000002</v>
      </c>
      <c r="G35" s="73">
        <f t="shared" si="9"/>
        <v>1.4140800000000002</v>
      </c>
      <c r="H35" s="74">
        <f t="shared" si="9"/>
        <v>810</v>
      </c>
      <c r="I35" s="90"/>
    </row>
    <row r="36" spans="1:18" ht="20.100000000000001" customHeight="1">
      <c r="A36" s="1" t="s">
        <v>1</v>
      </c>
      <c r="B36" s="75">
        <f>MIN(K4:K34)</f>
        <v>6.7249999999999996</v>
      </c>
      <c r="C36" s="76">
        <f t="shared" ref="C36:H36" si="10">MIN(L4:L34)</f>
        <v>6.6899999999999995</v>
      </c>
      <c r="D36" s="76">
        <f t="shared" si="10"/>
        <v>7.7317228884166704</v>
      </c>
      <c r="E36" s="76">
        <f t="shared" si="10"/>
        <v>8.4000000000000341</v>
      </c>
      <c r="F36" s="77">
        <f t="shared" si="10"/>
        <v>7.34328</v>
      </c>
      <c r="G36" s="77">
        <f t="shared" si="10"/>
        <v>9.3024000000000009E-2</v>
      </c>
      <c r="H36" s="47">
        <f t="shared" si="10"/>
        <v>540</v>
      </c>
      <c r="I36" s="82"/>
    </row>
    <row r="37" spans="1:18" ht="20.100000000000001" customHeight="1" thickBot="1">
      <c r="A37" s="2" t="s">
        <v>2</v>
      </c>
      <c r="B37" s="78">
        <f>AVERAGEIF(B4:B34,"&gt;0")</f>
        <v>6.8015909090909101</v>
      </c>
      <c r="C37" s="79">
        <f t="shared" ref="C37:H37" si="11">AVERAGEIF(C4:C34,"&gt;0")</f>
        <v>7.8893181818181821</v>
      </c>
      <c r="D37" s="79">
        <f t="shared" si="11"/>
        <v>21.942800989569189</v>
      </c>
      <c r="E37" s="79">
        <f t="shared" si="11"/>
        <v>11.090909090909106</v>
      </c>
      <c r="F37" s="80">
        <f t="shared" si="11"/>
        <v>10.724901818181822</v>
      </c>
      <c r="G37" s="80">
        <f t="shared" si="11"/>
        <v>0.48506618181818179</v>
      </c>
      <c r="H37" s="81">
        <f t="shared" si="11"/>
        <v>661.81818181818187</v>
      </c>
      <c r="I37" s="83"/>
      <c r="J37" s="61"/>
      <c r="K37" s="61"/>
    </row>
    <row r="38" spans="1:18">
      <c r="H38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BreakPreview" zoomScaleSheetLayoutView="100" workbookViewId="0">
      <pane xSplit="1" ySplit="3" topLeftCell="B14" activePane="bottomRight" state="frozen"/>
      <selection activeCell="D50" sqref="D50"/>
      <selection pane="topRight" activeCell="D50" sqref="D50"/>
      <selection pane="bottomLeft" activeCell="D50" sqref="D50"/>
      <selection pane="bottomRight" activeCell="D4" sqref="D4:D34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09" t="s">
        <v>26</v>
      </c>
      <c r="B1" s="109"/>
      <c r="C1" s="109"/>
      <c r="D1" s="109"/>
      <c r="E1" s="109"/>
      <c r="F1" s="109"/>
      <c r="G1" s="109"/>
      <c r="H1" s="109"/>
      <c r="I1" s="109"/>
    </row>
    <row r="2" spans="1:10" ht="20.100000000000001" customHeight="1">
      <c r="A2" s="104" t="s">
        <v>14</v>
      </c>
      <c r="B2" s="106" t="s">
        <v>10</v>
      </c>
      <c r="C2" s="107"/>
      <c r="D2" s="107"/>
      <c r="E2" s="107"/>
      <c r="F2" s="107"/>
      <c r="G2" s="107"/>
      <c r="H2" s="107"/>
      <c r="I2" s="108"/>
    </row>
    <row r="3" spans="1:10" ht="24.95" customHeight="1" thickBot="1">
      <c r="A3" s="105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44256</v>
      </c>
      <c r="B4" s="91">
        <f>[1]일반사항!$E$28</f>
        <v>6.7050000000000001</v>
      </c>
      <c r="C4" s="92">
        <f>[1]실험기록부!$C$11</f>
        <v>1.1500000000000004</v>
      </c>
      <c r="D4" s="93">
        <f>[1]실험기록부!$D$11</f>
        <v>6.5431167503100003</v>
      </c>
      <c r="E4" s="22">
        <f>[1]실험기록부!$E$11</f>
        <v>2</v>
      </c>
      <c r="F4" s="23">
        <f>[1]실험기록부!$F$11</f>
        <v>9.3040800000000008</v>
      </c>
      <c r="G4" s="23">
        <f>[1]실험기록부!$G$11</f>
        <v>8.9328000000000005E-2</v>
      </c>
      <c r="H4" s="24">
        <f>[1]실험기록부!$H$11</f>
        <v>6</v>
      </c>
      <c r="I4" s="26">
        <f>[2]커버3!$G$13</f>
        <v>582</v>
      </c>
      <c r="J4" s="99">
        <f>[1]일반사항!$D$28</f>
        <v>12.1</v>
      </c>
    </row>
    <row r="5" spans="1:10" ht="20.100000000000001" customHeight="1">
      <c r="A5" s="25">
        <f>[3]일반사항!$B$4</f>
        <v>44257</v>
      </c>
      <c r="B5" s="16">
        <f>[3]일반사항!$E$28</f>
        <v>6.6749999999999998</v>
      </c>
      <c r="C5" s="45">
        <f>[3]실험기록부!$C$11</f>
        <v>1.2200000000000006</v>
      </c>
      <c r="D5" s="17">
        <f>[3]실험기록부!$D$11</f>
        <v>5.5177850889449997</v>
      </c>
      <c r="E5" s="18">
        <f>[3]실험기록부!$E$11</f>
        <v>3</v>
      </c>
      <c r="F5" s="19">
        <f>[3]실험기록부!$F$11</f>
        <v>9.1540800000000004</v>
      </c>
      <c r="G5" s="19">
        <f>[3]실험기록부!$G$11</f>
        <v>7.5119999999999992E-2</v>
      </c>
      <c r="H5" s="20">
        <f>[3]실험기록부!$H$11</f>
        <v>9.5</v>
      </c>
      <c r="I5" s="27">
        <f>[4]커버3!$G$13</f>
        <v>861</v>
      </c>
      <c r="J5" s="99">
        <f>[3]일반사항!$D$28</f>
        <v>12.350000000000001</v>
      </c>
    </row>
    <row r="6" spans="1:10" ht="20.100000000000001" customHeight="1">
      <c r="A6" s="25">
        <f>[5]일반사항!$B$4</f>
        <v>44258</v>
      </c>
      <c r="B6" s="16">
        <f>[5]일반사항!$E$28</f>
        <v>6.67</v>
      </c>
      <c r="C6" s="45">
        <f>[5]실험기록부!$C$11</f>
        <v>1.33</v>
      </c>
      <c r="D6" s="17">
        <f>[5]실험기록부!$D$11</f>
        <v>6.7807552808500002</v>
      </c>
      <c r="E6" s="18">
        <f>[5]실험기록부!$E$11</f>
        <v>2.8000000000000114</v>
      </c>
      <c r="F6" s="19">
        <f>[5]실험기록부!$F$11</f>
        <v>10.666559999999999</v>
      </c>
      <c r="G6" s="19">
        <f>[5]실험기록부!$G$11</f>
        <v>7.1232000000000004E-2</v>
      </c>
      <c r="H6" s="20">
        <f>[5]실험기록부!$H$11</f>
        <v>1.5</v>
      </c>
      <c r="I6" s="27">
        <f>[6]커버3!$G$13</f>
        <v>763</v>
      </c>
      <c r="J6" s="99">
        <f>[5]일반사항!$D$28</f>
        <v>12.55</v>
      </c>
    </row>
    <row r="7" spans="1:10" ht="20.100000000000001" customHeight="1">
      <c r="A7" s="25">
        <f>[7]일반사항!$B$4</f>
        <v>44259</v>
      </c>
      <c r="B7" s="16">
        <f>[7]일반사항!$E$28</f>
        <v>6.6749999999999998</v>
      </c>
      <c r="C7" s="45">
        <f>[7]실험기록부!$C$11</f>
        <v>1.3699999999999992</v>
      </c>
      <c r="D7" s="17">
        <f>[7]실험기록부!$D$11</f>
        <v>6.4165424902749999</v>
      </c>
      <c r="E7" s="18">
        <f>[7]실험기록부!$E$11</f>
        <v>2.4000000000000052</v>
      </c>
      <c r="F7" s="19">
        <f>[7]실험기록부!$F$11</f>
        <v>8.7926400000000005</v>
      </c>
      <c r="G7" s="19">
        <f>[7]실험기록부!$G$11</f>
        <v>7.5167999999999985E-2</v>
      </c>
      <c r="H7" s="20">
        <f>[7]실험기록부!$H$11</f>
        <v>1.5</v>
      </c>
      <c r="I7" s="27">
        <f>[8]커버3!$G$13</f>
        <v>744</v>
      </c>
      <c r="J7" s="99">
        <f>[7]일반사항!$D$28</f>
        <v>12.850000000000001</v>
      </c>
    </row>
    <row r="8" spans="1:10" ht="20.100000000000001" customHeight="1">
      <c r="A8" s="25">
        <f>[9]일반사항!$B$4</f>
        <v>44260</v>
      </c>
      <c r="B8" s="16">
        <f>[9]일반사항!$E$28</f>
        <v>6.665</v>
      </c>
      <c r="C8" s="45">
        <f>[9]실험기록부!$C$11</f>
        <v>1.25</v>
      </c>
      <c r="D8" s="17">
        <f>[9]실험기록부!$D$11</f>
        <v>7.1298853207333304</v>
      </c>
      <c r="E8" s="18">
        <f>[9]실험기록부!$E$11</f>
        <v>3</v>
      </c>
      <c r="F8" s="19">
        <f>[9]실험기록부!$F$11</f>
        <v>9.1339199999999998</v>
      </c>
      <c r="G8" s="19">
        <f>[9]실험기록부!$G$11</f>
        <v>7.152E-2</v>
      </c>
      <c r="H8" s="20">
        <f>[9]실험기록부!$H$11</f>
        <v>9</v>
      </c>
      <c r="I8" s="27">
        <f>[10]커버3!$G$13</f>
        <v>690</v>
      </c>
      <c r="J8" s="99">
        <f>[9]일반사항!$D$28</f>
        <v>12.5</v>
      </c>
    </row>
    <row r="9" spans="1:10" ht="20.100000000000001" customHeight="1">
      <c r="A9" s="25">
        <f>[11]일반사항!$B$4</f>
        <v>44261</v>
      </c>
      <c r="B9" s="16">
        <f>[11]일반사항!$E$28</f>
        <v>6.6850000000000005</v>
      </c>
      <c r="C9" s="45">
        <f>[11]실험기록부!$C$11</f>
        <v>1.1400000000000006</v>
      </c>
      <c r="D9" s="17">
        <f>[11]실험기록부!$D$11</f>
        <v>6.2548813248900004</v>
      </c>
      <c r="E9" s="18">
        <f>[11]실험기록부!$E$11</f>
        <v>2</v>
      </c>
      <c r="F9" s="19">
        <f>[11]실험기록부!$F$11</f>
        <v>8.3469999999999995</v>
      </c>
      <c r="G9" s="19">
        <f>[11]실험기록부!$G$11</f>
        <v>8.1599999999999978E-2</v>
      </c>
      <c r="H9" s="20">
        <f>[11]실험기록부!$H$11</f>
        <v>2.5</v>
      </c>
      <c r="I9" s="27">
        <f>[12]커버3!$G$13</f>
        <v>554</v>
      </c>
      <c r="J9" s="99">
        <f>[11]일반사항!$D$28</f>
        <v>12.45</v>
      </c>
    </row>
    <row r="10" spans="1:10" ht="20.100000000000001" customHeight="1">
      <c r="A10" s="25">
        <f>[13]일반사항!$B$4</f>
        <v>44262</v>
      </c>
      <c r="B10" s="16">
        <f>[13]일반사항!$E$28</f>
        <v>6.7050000000000001</v>
      </c>
      <c r="C10" s="45">
        <f>[13]실험기록부!$C$11</f>
        <v>1.1100000000000012</v>
      </c>
      <c r="D10" s="17">
        <f>[13]실험기록부!$D$11</f>
        <v>6.0417346300899997</v>
      </c>
      <c r="E10" s="18">
        <f>[13]실험기록부!$E$11</f>
        <v>2</v>
      </c>
      <c r="F10" s="19">
        <f>[13]실험기록부!$F$11</f>
        <v>8.7129999999999992</v>
      </c>
      <c r="G10" s="19">
        <f>[13]실험기록부!$G$11</f>
        <v>0.10248000000000002</v>
      </c>
      <c r="H10" s="20">
        <f>[13]실험기록부!$H$11</f>
        <v>1.5</v>
      </c>
      <c r="I10" s="27">
        <f>[14]커버3!$G$13</f>
        <v>559</v>
      </c>
      <c r="J10" s="99">
        <f>[13]일반사항!$D$28</f>
        <v>12.55</v>
      </c>
    </row>
    <row r="11" spans="1:10" ht="20.100000000000001" customHeight="1">
      <c r="A11" s="25">
        <f>[15]일반사항!$B$4</f>
        <v>44263</v>
      </c>
      <c r="B11" s="16">
        <f>[15]일반사항!$E$28</f>
        <v>6.6749999999999998</v>
      </c>
      <c r="C11" s="45">
        <f>[15]실험기록부!$C$11</f>
        <v>1.25</v>
      </c>
      <c r="D11" s="17">
        <f>[15]실험기록부!$D$11</f>
        <v>5.7259047362600004</v>
      </c>
      <c r="E11" s="18">
        <f>[15]실험기록부!$E$11</f>
        <v>3.1999999999999886</v>
      </c>
      <c r="F11" s="19">
        <f>[15]실험기록부!$F$11</f>
        <v>8.1984000000000012</v>
      </c>
      <c r="G11" s="19">
        <f>[15]실험기록부!$G$11</f>
        <v>6.2064000000000001E-2</v>
      </c>
      <c r="H11" s="20">
        <f>[15]실험기록부!$H$11</f>
        <v>1.5</v>
      </c>
      <c r="I11" s="27">
        <f>[16]커버3!$G$13</f>
        <v>582</v>
      </c>
      <c r="J11" s="99">
        <f>[15]일반사항!$D$28</f>
        <v>12.5</v>
      </c>
    </row>
    <row r="12" spans="1:10" ht="20.100000000000001" customHeight="1">
      <c r="A12" s="25">
        <f>[17]일반사항!$B$4</f>
        <v>44264</v>
      </c>
      <c r="B12" s="16">
        <f>[17]일반사항!$E$28</f>
        <v>6.665</v>
      </c>
      <c r="C12" s="45">
        <f>[17]실험기록부!$C$11</f>
        <v>1.120000000000001</v>
      </c>
      <c r="D12" s="17">
        <f>[17]실험기록부!$D$11</f>
        <v>7.9676348506666699</v>
      </c>
      <c r="E12" s="18">
        <f>[17]실험기록부!$E$11</f>
        <v>2.6000000000000227</v>
      </c>
      <c r="F12" s="19">
        <f>[17]실험기록부!$F$11</f>
        <v>9.4003200000000007</v>
      </c>
      <c r="G12" s="19">
        <f>[17]실험기록부!$G$11</f>
        <v>7.0511999999999991E-2</v>
      </c>
      <c r="H12" s="20">
        <f>[17]실험기록부!$H$11</f>
        <v>3</v>
      </c>
      <c r="I12" s="27">
        <f>[18]커버3!$G$13</f>
        <v>628</v>
      </c>
      <c r="J12" s="99">
        <f>[17]일반사항!$D$28</f>
        <v>12.55</v>
      </c>
    </row>
    <row r="13" spans="1:10" ht="20.100000000000001" customHeight="1">
      <c r="A13" s="25">
        <f>[19]일반사항!$B$4</f>
        <v>44265</v>
      </c>
      <c r="B13" s="16">
        <f>[19]일반사항!$E$28</f>
        <v>6.62</v>
      </c>
      <c r="C13" s="45">
        <f>[19]실험기록부!$C$11</f>
        <v>1.1099999999999994</v>
      </c>
      <c r="D13" s="17">
        <f>[19]실험기록부!$D$11</f>
        <v>7.9961558371966701</v>
      </c>
      <c r="E13" s="18">
        <f>[19]실험기록부!$E$11</f>
        <v>2.4000000000000052</v>
      </c>
      <c r="F13" s="19">
        <f>[19]실험기록부!$F$11</f>
        <v>9.1977599999999988</v>
      </c>
      <c r="G13" s="19">
        <f>[19]실험기록부!$G$11</f>
        <v>7.8287999999999996E-2</v>
      </c>
      <c r="H13" s="20">
        <f>[19]실험기록부!$H$11</f>
        <v>2.5</v>
      </c>
      <c r="I13" s="27">
        <f>[20]커버3!$G$13</f>
        <v>584</v>
      </c>
      <c r="J13" s="99">
        <f>[19]일반사항!$D$28</f>
        <v>12.75</v>
      </c>
    </row>
    <row r="14" spans="1:10" ht="20.100000000000001" customHeight="1">
      <c r="A14" s="25">
        <f>[21]일반사항!$B$4</f>
        <v>44266</v>
      </c>
      <c r="B14" s="16">
        <f>[21]일반사항!$E$28</f>
        <v>6.67</v>
      </c>
      <c r="C14" s="45">
        <f>[21]실험기록부!$C$11</f>
        <v>1.2699999999999996</v>
      </c>
      <c r="D14" s="17">
        <f>[21]실험기록부!$D$11</f>
        <v>5.5324256955950002</v>
      </c>
      <c r="E14" s="18">
        <f>[21]실험기록부!$E$11</f>
        <v>2.6000000000000227</v>
      </c>
      <c r="F14" s="19">
        <f>[21]실험기록부!$F$11</f>
        <v>10.18224</v>
      </c>
      <c r="G14" s="19">
        <f>[21]실험기록부!$G$11</f>
        <v>9.1967999999999994E-2</v>
      </c>
      <c r="H14" s="20">
        <f>[21]실험기록부!$H$11</f>
        <v>1.5</v>
      </c>
      <c r="I14" s="27">
        <f>[22]커버3!$G$13</f>
        <v>589</v>
      </c>
      <c r="J14" s="99">
        <f>[21]일반사항!$D$28</f>
        <v>12.95</v>
      </c>
    </row>
    <row r="15" spans="1:10" ht="20.100000000000001" customHeight="1">
      <c r="A15" s="25">
        <f>[23]일반사항!$B$4</f>
        <v>44267</v>
      </c>
      <c r="B15" s="16">
        <f>[23]일반사항!$E$28</f>
        <v>6.6550000000000002</v>
      </c>
      <c r="C15" s="45">
        <f>[23]실험기록부!$C$11</f>
        <v>1.25</v>
      </c>
      <c r="D15" s="17">
        <f>[23]실험기록부!$D$11</f>
        <v>6.3897974459000002</v>
      </c>
      <c r="E15" s="18">
        <f>[23]실험기록부!$E$11</f>
        <v>3</v>
      </c>
      <c r="F15" s="19">
        <f>[23]실험기록부!$F$11</f>
        <v>8.8363199999999988</v>
      </c>
      <c r="G15" s="19">
        <f>[23]실험기록부!$G$11</f>
        <v>8.2799999999999999E-2</v>
      </c>
      <c r="H15" s="20">
        <f>[23]실험기록부!$H$11</f>
        <v>2.5</v>
      </c>
      <c r="I15" s="27">
        <f>[24]커버3!$G$13</f>
        <v>793</v>
      </c>
      <c r="J15" s="99">
        <f>[23]일반사항!$D$28</f>
        <v>13.1</v>
      </c>
    </row>
    <row r="16" spans="1:10" ht="20.100000000000001" customHeight="1">
      <c r="A16" s="25">
        <f>[25]일반사항!$B$4</f>
        <v>44268</v>
      </c>
      <c r="B16" s="16">
        <f>[25]일반사항!$E$28</f>
        <v>6.6550000000000002</v>
      </c>
      <c r="C16" s="45">
        <f>[25]실험기록부!$C$11</f>
        <v>1.2299999999999986</v>
      </c>
      <c r="D16" s="17">
        <f>[25]실험기록부!$D$11</f>
        <v>6.3150354748749997</v>
      </c>
      <c r="E16" s="18">
        <f>[25]실험기록부!$E$11</f>
        <v>2.1</v>
      </c>
      <c r="F16" s="19">
        <f>[25]실험기록부!$F$11</f>
        <v>9.5198400000000003</v>
      </c>
      <c r="G16" s="19">
        <f>[25]실험기록부!$G$11</f>
        <v>8.9183999999999999E-2</v>
      </c>
      <c r="H16" s="20">
        <f>[25]실험기록부!$H$11</f>
        <v>0.5</v>
      </c>
      <c r="I16" s="27">
        <f>[26]커버3!$G$13</f>
        <v>745</v>
      </c>
      <c r="J16" s="99">
        <f>[25]일반사항!$D$28</f>
        <v>13.149999999999999</v>
      </c>
    </row>
    <row r="17" spans="1:10" ht="20.100000000000001" customHeight="1">
      <c r="A17" s="25">
        <f>[27]일반사항!$B$4</f>
        <v>44269</v>
      </c>
      <c r="B17" s="16">
        <f>[27]일반사항!$E$28</f>
        <v>6.6749999999999998</v>
      </c>
      <c r="C17" s="45">
        <f>[27]실험기록부!$C$11</f>
        <v>1.3399999999999999</v>
      </c>
      <c r="D17" s="17">
        <f>[27]실험기록부!$D$11</f>
        <v>8.0709088459549996</v>
      </c>
      <c r="E17" s="18">
        <f>[27]실험기록부!$E$11</f>
        <v>2.2000000000000002</v>
      </c>
      <c r="F17" s="19">
        <f>[27]실험기록부!$F$11</f>
        <v>7.6377599999999983</v>
      </c>
      <c r="G17" s="19">
        <f>[27]실험기록부!$G$11</f>
        <v>7.4399999999999994E-2</v>
      </c>
      <c r="H17" s="20">
        <f>[27]실험기록부!$H$11</f>
        <v>1.5</v>
      </c>
      <c r="I17" s="27">
        <f>[28]커버3!$G$13</f>
        <v>649</v>
      </c>
      <c r="J17" s="99">
        <f>[27]일반사항!$D$28</f>
        <v>13.1</v>
      </c>
    </row>
    <row r="18" spans="1:10" ht="20.100000000000001" customHeight="1">
      <c r="A18" s="25">
        <f>[29]일반사항!$B$4</f>
        <v>44270</v>
      </c>
      <c r="B18" s="16">
        <f>[29]일반사항!$E$28</f>
        <v>6.6749999999999998</v>
      </c>
      <c r="C18" s="45">
        <f>[29]실험기록부!$C$11</f>
        <v>1.1999999999999993</v>
      </c>
      <c r="D18" s="17">
        <f>[29]실험기록부!$D$11</f>
        <v>7.772893393575</v>
      </c>
      <c r="E18" s="18">
        <f>[29]실험기록부!$E$11</f>
        <v>2.2000000000000175</v>
      </c>
      <c r="F18" s="19">
        <f>[29]실험기록부!$F$11</f>
        <v>7.0840800000000002</v>
      </c>
      <c r="G18" s="19">
        <f>[29]실험기록부!$G$11</f>
        <v>6.9935999999999998E-2</v>
      </c>
      <c r="H18" s="20">
        <f>[29]실험기록부!$H$11</f>
        <v>4</v>
      </c>
      <c r="I18" s="27">
        <f>[30]커버3!$G$13</f>
        <v>646</v>
      </c>
      <c r="J18" s="99">
        <f>[29]일반사항!$D$28</f>
        <v>13.3</v>
      </c>
    </row>
    <row r="19" spans="1:10" ht="20.100000000000001" customHeight="1">
      <c r="A19" s="25">
        <f>[31]일반사항!$B$4</f>
        <v>44271</v>
      </c>
      <c r="B19" s="16">
        <f>[31]일반사항!$E$28</f>
        <v>6.6449999999999996</v>
      </c>
      <c r="C19" s="45">
        <f>[31]실험기록부!$C$11</f>
        <v>1.1400000000000006</v>
      </c>
      <c r="D19" s="17">
        <f>[31]실험기록부!$D$11</f>
        <v>6.2536258447333299</v>
      </c>
      <c r="E19" s="18">
        <f>[31]실험기록부!$E$11</f>
        <v>3.1999999999999886</v>
      </c>
      <c r="F19" s="19">
        <f>[31]실험기록부!$F$11</f>
        <v>8.2742400000000007</v>
      </c>
      <c r="G19" s="19">
        <f>[31]실험기록부!$G$11</f>
        <v>8.006400000000001E-2</v>
      </c>
      <c r="H19" s="20">
        <f>[31]실험기록부!$H$11</f>
        <v>1.5</v>
      </c>
      <c r="I19" s="27">
        <f>[32]커버3!$G$13</f>
        <v>642</v>
      </c>
      <c r="J19" s="99">
        <f>[31]일반사항!$D$28</f>
        <v>13.45</v>
      </c>
    </row>
    <row r="20" spans="1:10" ht="20.100000000000001" customHeight="1">
      <c r="A20" s="25">
        <f>[33]일반사항!$B$4</f>
        <v>44272</v>
      </c>
      <c r="B20" s="16">
        <f>[33]일반사항!$E$28</f>
        <v>6.6550000000000002</v>
      </c>
      <c r="C20" s="45">
        <f>[33]실험기록부!$C$11</f>
        <v>1.0999999999999996</v>
      </c>
      <c r="D20" s="17">
        <f>[33]실험기록부!$D$11</f>
        <v>6.0061065483833298</v>
      </c>
      <c r="E20" s="18">
        <f>[33]실험기록부!$E$11</f>
        <v>2.6000000000000227</v>
      </c>
      <c r="F20" s="19">
        <f>[33]실험기록부!$F$11</f>
        <v>8.9678400000000007</v>
      </c>
      <c r="G20" s="19">
        <f>[33]실험기록부!$G$11</f>
        <v>0.13387199999999999</v>
      </c>
      <c r="H20" s="20">
        <f>[33]실험기록부!$H$11</f>
        <v>7.5</v>
      </c>
      <c r="I20" s="27">
        <f>[34]커버3!$G$13</f>
        <v>615</v>
      </c>
      <c r="J20" s="99">
        <f>[33]일반사항!$D$28</f>
        <v>13.75</v>
      </c>
    </row>
    <row r="21" spans="1:10" ht="20.100000000000001" customHeight="1">
      <c r="A21" s="25">
        <f>[35]일반사항!$B$4</f>
        <v>44273</v>
      </c>
      <c r="B21" s="16">
        <f>[35]일반사항!$E$28</f>
        <v>6.6550000000000002</v>
      </c>
      <c r="C21" s="45">
        <f>[35]실험기록부!$C$11</f>
        <v>1.0499999999999989</v>
      </c>
      <c r="D21" s="17">
        <f>[35]실험기록부!$D$11</f>
        <v>6.3859837644799997</v>
      </c>
      <c r="E21" s="18">
        <f>[35]실험기록부!$E$11</f>
        <v>2.6000000000000227</v>
      </c>
      <c r="F21" s="19">
        <f>[35]실험기록부!$F$11</f>
        <v>8.5996800000000011</v>
      </c>
      <c r="G21" s="19">
        <f>[35]실험기록부!$G$11</f>
        <v>0.11332799999999998</v>
      </c>
      <c r="H21" s="20">
        <f>[35]실험기록부!$H$11</f>
        <v>1.5</v>
      </c>
      <c r="I21" s="27">
        <f>[36]커버3!$G$13</f>
        <v>567</v>
      </c>
      <c r="J21" s="99">
        <f>[35]일반사항!$D$28</f>
        <v>13.95</v>
      </c>
    </row>
    <row r="22" spans="1:10" ht="20.100000000000001" customHeight="1">
      <c r="A22" s="25">
        <f>[37]일반사항!$B$4</f>
        <v>44274</v>
      </c>
      <c r="B22" s="16">
        <f>[37]일반사항!$E$28</f>
        <v>6.6550000000000002</v>
      </c>
      <c r="C22" s="45">
        <f>[37]실험기록부!$C$11</f>
        <v>1.1500000000000004</v>
      </c>
      <c r="D22" s="17">
        <f>[37]실험기록부!$D$11</f>
        <v>5.8144416575150002</v>
      </c>
      <c r="E22" s="18">
        <f>[37]실험기록부!$E$11</f>
        <v>2.3999999999999773</v>
      </c>
      <c r="F22" s="19">
        <f>[37]실험기록부!$F$11</f>
        <v>8.8756800000000009</v>
      </c>
      <c r="G22" s="19">
        <f>[37]실험기록부!$G$11</f>
        <v>0.15201599999999998</v>
      </c>
      <c r="H22" s="20">
        <f>[37]실험기록부!$H$11</f>
        <v>2.5</v>
      </c>
      <c r="I22" s="27">
        <f>[38]커버3!$G$13</f>
        <v>559</v>
      </c>
      <c r="J22" s="99">
        <f>[37]일반사항!$D$28</f>
        <v>14.1</v>
      </c>
    </row>
    <row r="23" spans="1:10" ht="20.100000000000001" customHeight="1">
      <c r="A23" s="25">
        <f>[39]일반사항!$B$4</f>
        <v>44275</v>
      </c>
      <c r="B23" s="16">
        <f>[39]일반사항!$E$28</f>
        <v>6.6449999999999996</v>
      </c>
      <c r="C23" s="45">
        <f>[39]실험기록부!$C$11</f>
        <v>1.8100000000000005</v>
      </c>
      <c r="D23" s="17">
        <f>[39]실험기록부!$D$11</f>
        <v>5.8505437354499996</v>
      </c>
      <c r="E23" s="18">
        <f>[39]실험기록부!$E$11</f>
        <v>2.9</v>
      </c>
      <c r="F23" s="19">
        <f>[39]실험기록부!$F$11</f>
        <v>8.1039999999999992</v>
      </c>
      <c r="G23" s="19">
        <f>[39]실험기록부!$G$11</f>
        <v>8.1696000000000005E-2</v>
      </c>
      <c r="H23" s="20">
        <f>[39]실험기록부!$H$11</f>
        <v>6</v>
      </c>
      <c r="I23" s="27">
        <f>[40]커버3!$G$13</f>
        <v>620</v>
      </c>
      <c r="J23" s="99">
        <f>[39]일반사항!$D$28</f>
        <v>14.149999999999999</v>
      </c>
    </row>
    <row r="24" spans="1:10" ht="20.100000000000001" customHeight="1">
      <c r="A24" s="25">
        <f>[41]일반사항!$B$4</f>
        <v>44276</v>
      </c>
      <c r="B24" s="16">
        <f>[41]일반사항!$E$28</f>
        <v>6.665</v>
      </c>
      <c r="C24" s="45">
        <f>[41]실험기록부!$C$11</f>
        <v>1.907</v>
      </c>
      <c r="D24" s="17">
        <f>[41]실험기록부!$D$11</f>
        <v>5.6526508991300002</v>
      </c>
      <c r="E24" s="18">
        <f>[41]실험기록부!$E$11</f>
        <v>2</v>
      </c>
      <c r="F24" s="19">
        <f>[41]실험기록부!$F$11</f>
        <v>8.6519999999999992</v>
      </c>
      <c r="G24" s="19">
        <f>[41]실험기록부!$G$11</f>
        <v>5.5E-2</v>
      </c>
      <c r="H24" s="20">
        <f>[41]실험기록부!$H$11</f>
        <v>4.5</v>
      </c>
      <c r="I24" s="27">
        <f>[42]커버3!$G$13</f>
        <v>614</v>
      </c>
      <c r="J24" s="99">
        <f>[41]일반사항!$D$28</f>
        <v>14.2</v>
      </c>
    </row>
    <row r="25" spans="1:10" ht="20.100000000000001" customHeight="1">
      <c r="A25" s="25">
        <f>[43]일반사항!$B$4</f>
        <v>44277</v>
      </c>
      <c r="B25" s="16">
        <f>[43]일반사항!$E$28</f>
        <v>6.6449999999999996</v>
      </c>
      <c r="C25" s="45">
        <f>[43]실험기록부!$C$11</f>
        <v>1.0499999999999989</v>
      </c>
      <c r="D25" s="17">
        <f>[43]실험기록부!$D$11</f>
        <v>6.0041954123350001</v>
      </c>
      <c r="E25" s="18">
        <f>[43]실험기록부!$E$11</f>
        <v>2.4000000000000052</v>
      </c>
      <c r="F25" s="19">
        <f>[43]실험기록부!$F$11</f>
        <v>6.6288</v>
      </c>
      <c r="G25" s="19">
        <f>[43]실험기록부!$G$11</f>
        <v>8.9135999999999993E-2</v>
      </c>
      <c r="H25" s="20">
        <f>[43]실험기록부!$H$11</f>
        <v>1.5</v>
      </c>
      <c r="I25" s="27">
        <f>[44]커버3!$G$13</f>
        <v>518</v>
      </c>
      <c r="J25" s="99">
        <f>[43]일반사항!$D$28</f>
        <v>14.149999999999999</v>
      </c>
    </row>
    <row r="26" spans="1:10" ht="20.100000000000001" customHeight="1">
      <c r="A26" s="25">
        <f>[45]일반사항!$B$4</f>
        <v>44278</v>
      </c>
      <c r="B26" s="16">
        <f>[45]일반사항!$E$28</f>
        <v>6.67</v>
      </c>
      <c r="C26" s="45">
        <f>[45]실험기록부!$C$11</f>
        <v>1.1899999999999995</v>
      </c>
      <c r="D26" s="17">
        <f>[45]실험기록부!$D$11</f>
        <v>4.79363313085</v>
      </c>
      <c r="E26" s="18">
        <f>[45]실험기록부!$E$11</f>
        <v>2.6000000000000227</v>
      </c>
      <c r="F26" s="19">
        <f>[45]실험기록부!$F$11</f>
        <v>7.8268800000000009</v>
      </c>
      <c r="G26" s="19">
        <f>[45]실험기록부!$G$11</f>
        <v>8.5103999999999985E-2</v>
      </c>
      <c r="H26" s="20">
        <f>[45]실험기록부!$H$11</f>
        <v>1.5</v>
      </c>
      <c r="I26" s="27">
        <f>[46]커버3!$G$13</f>
        <v>551</v>
      </c>
      <c r="J26" s="99">
        <f>[45]일반사항!$D$28</f>
        <v>14.25</v>
      </c>
    </row>
    <row r="27" spans="1:10" ht="20.100000000000001" customHeight="1">
      <c r="A27" s="25">
        <f>[47]일반사항!$B$4</f>
        <v>44279</v>
      </c>
      <c r="B27" s="16">
        <f>[47]일반사항!$E$28</f>
        <v>6.6449999999999996</v>
      </c>
      <c r="C27" s="45">
        <f>[47]실험기록부!$C$11</f>
        <v>1.1500000000000004</v>
      </c>
      <c r="D27" s="17">
        <f>[47]실험기록부!$D$11</f>
        <v>4.53490279764</v>
      </c>
      <c r="E27" s="18">
        <f>[47]실험기록부!$E$11</f>
        <v>3</v>
      </c>
      <c r="F27" s="19">
        <f>[47]실험기록부!$F$11</f>
        <v>10.9056</v>
      </c>
      <c r="G27" s="19">
        <f>[47]실험기록부!$G$11</f>
        <v>9.2064000000000007E-2</v>
      </c>
      <c r="H27" s="20">
        <f>[47]실험기록부!$H$11</f>
        <v>1.5</v>
      </c>
      <c r="I27" s="27">
        <f>[48]커버3!$G$13</f>
        <v>563</v>
      </c>
      <c r="J27" s="99">
        <f>[47]일반사항!$D$28</f>
        <v>14.350000000000001</v>
      </c>
    </row>
    <row r="28" spans="1:10" ht="20.100000000000001" customHeight="1">
      <c r="A28" s="25">
        <f>[49]일반사항!$B$4</f>
        <v>44280</v>
      </c>
      <c r="B28" s="16">
        <f>[49]일반사항!$E$28</f>
        <v>6.6449999999999996</v>
      </c>
      <c r="C28" s="45">
        <f>[49]실험기록부!$C$11</f>
        <v>1.0599999999999987</v>
      </c>
      <c r="D28" s="17">
        <f>[49]실험기록부!$D$11</f>
        <v>4.7895975410149996</v>
      </c>
      <c r="E28" s="18">
        <f>[49]실험기록부!$E$11</f>
        <v>3</v>
      </c>
      <c r="F28" s="19">
        <f>[49]실험기록부!$F$11</f>
        <v>10.539840000000002</v>
      </c>
      <c r="G28" s="19">
        <f>[49]실험기록부!$G$11</f>
        <v>9.0239999999999987E-2</v>
      </c>
      <c r="H28" s="20">
        <f>[49]실험기록부!$H$11</f>
        <v>1.5</v>
      </c>
      <c r="I28" s="27">
        <f>[50]커버3!$G$13</f>
        <v>537</v>
      </c>
      <c r="J28" s="99">
        <f>[49]일반사항!$D$28</f>
        <v>14.45</v>
      </c>
    </row>
    <row r="29" spans="1:10" ht="20.100000000000001" customHeight="1">
      <c r="A29" s="25">
        <f>[51]일반사항!$B$4</f>
        <v>44281</v>
      </c>
      <c r="B29" s="16">
        <f>[51]일반사항!$E$28</f>
        <v>6.6449999999999996</v>
      </c>
      <c r="C29" s="45">
        <f>[51]실험기록부!$C$11</f>
        <v>1</v>
      </c>
      <c r="D29" s="17">
        <f>[51]실험기록부!$D$11</f>
        <v>8.0683088983999998</v>
      </c>
      <c r="E29" s="18">
        <f>[51]실험기록부!$E$11</f>
        <v>3.2000000000000175</v>
      </c>
      <c r="F29" s="19">
        <f>[51]실험기록부!$F$11</f>
        <v>6.8438400000000001</v>
      </c>
      <c r="G29" s="19">
        <f>[51]실험기록부!$G$11</f>
        <v>8.6352000000000012E-2</v>
      </c>
      <c r="H29" s="20">
        <f>[51]실험기록부!$H$11</f>
        <v>1.5</v>
      </c>
      <c r="I29" s="27">
        <f>[52]커버3!$G$13</f>
        <v>564</v>
      </c>
      <c r="J29" s="99">
        <f>[51]일반사항!$D$28</f>
        <v>14.75</v>
      </c>
    </row>
    <row r="30" spans="1:10" ht="20.100000000000001" customHeight="1">
      <c r="A30" s="25">
        <f>[53]일반사항!$B$4</f>
        <v>44282</v>
      </c>
      <c r="B30" s="16">
        <f>[53]일반사항!$E$28</f>
        <v>6.6550000000000002</v>
      </c>
      <c r="C30" s="45">
        <f>[53]실험기록부!$C$11</f>
        <v>1.4599999999999991</v>
      </c>
      <c r="D30" s="17">
        <f>[53]실험기록부!$D$11</f>
        <v>4.5835113666450003</v>
      </c>
      <c r="E30" s="18">
        <f>[53]실험기록부!$E$11</f>
        <v>3.1</v>
      </c>
      <c r="F30" s="19">
        <f>[53]실험기록부!$F$11</f>
        <v>8.6539999999999999</v>
      </c>
      <c r="G30" s="19">
        <f>[53]실험기록부!$G$11</f>
        <v>0.22700000000000001</v>
      </c>
      <c r="H30" s="20">
        <f>[53]실험기록부!$H$11</f>
        <v>2.5</v>
      </c>
      <c r="I30" s="27">
        <f>[54]커버3!$G$13</f>
        <v>699</v>
      </c>
      <c r="J30" s="99">
        <f>[53]일반사항!$D$28</f>
        <v>14.8</v>
      </c>
    </row>
    <row r="31" spans="1:10" ht="20.100000000000001" customHeight="1">
      <c r="A31" s="25">
        <f>[55]일반사항!$B$4</f>
        <v>44283</v>
      </c>
      <c r="B31" s="16">
        <f>[55]일반사항!$E$28</f>
        <v>6.65</v>
      </c>
      <c r="C31" s="45">
        <f>[55]실험기록부!$C$11</f>
        <v>1.0300000000000011</v>
      </c>
      <c r="D31" s="17">
        <f>[55]실험기록부!$D$11</f>
        <v>4.5964173650150002</v>
      </c>
      <c r="E31" s="18">
        <f>[55]실험기록부!$E$11</f>
        <v>3</v>
      </c>
      <c r="F31" s="19">
        <f>[55]실험기록부!$F$11</f>
        <v>9.2439999999999998</v>
      </c>
      <c r="G31" s="19">
        <f>[55]실험기록부!$G$11</f>
        <v>0.214</v>
      </c>
      <c r="H31" s="20">
        <f>[55]실험기록부!$H$11</f>
        <v>3.5</v>
      </c>
      <c r="I31" s="27">
        <f>[56]커버3!$G$13</f>
        <v>662</v>
      </c>
      <c r="J31" s="99">
        <f>[55]일반사항!$D$28</f>
        <v>14.850000000000001</v>
      </c>
    </row>
    <row r="32" spans="1:10" ht="20.100000000000001" customHeight="1">
      <c r="A32" s="25">
        <f>[57]일반사항!$B$4</f>
        <v>44284</v>
      </c>
      <c r="B32" s="16">
        <f>[57]일반사항!$E$28</f>
        <v>6.6449999999999996</v>
      </c>
      <c r="C32" s="45">
        <f>[57]실험기록부!$C$11</f>
        <v>0.98999999999999844</v>
      </c>
      <c r="D32" s="17">
        <f>[57]실험기록부!$D$11</f>
        <v>4.5156928173170003</v>
      </c>
      <c r="E32" s="18">
        <f>[57]실험기록부!$E$11</f>
        <v>3</v>
      </c>
      <c r="F32" s="19">
        <f>[57]실험기록부!$F$11</f>
        <v>9.0028799999999993</v>
      </c>
      <c r="G32" s="19">
        <f>[57]실험기록부!$G$11</f>
        <v>9.1583999999999999E-2</v>
      </c>
      <c r="H32" s="20">
        <f>[57]실험기록부!$H$11</f>
        <v>2.5</v>
      </c>
      <c r="I32" s="27">
        <f>[58]커버3!$G$13</f>
        <v>582</v>
      </c>
      <c r="J32" s="99">
        <f>[57]일반사항!$D$28</f>
        <v>14.95</v>
      </c>
    </row>
    <row r="33" spans="1:10" ht="20.100000000000001" customHeight="1">
      <c r="A33" s="25">
        <f>[59]일반사항!$B$4</f>
        <v>44285</v>
      </c>
      <c r="B33" s="16">
        <f>[59]일반사항!$E$28</f>
        <v>6.6550000000000002</v>
      </c>
      <c r="C33" s="45">
        <f>[59]실험기록부!$C$11</f>
        <v>0.97000000000000064</v>
      </c>
      <c r="D33" s="17">
        <f>[59]실험기록부!$D$11</f>
        <v>4.5430993367779999</v>
      </c>
      <c r="E33" s="18">
        <f>[59]실험기록부!$E$11</f>
        <v>3.2000000000000175</v>
      </c>
      <c r="F33" s="19">
        <f>[59]실험기록부!$F$11</f>
        <v>9.3758399999999984</v>
      </c>
      <c r="G33" s="19">
        <f>[59]실험기록부!$G$11</f>
        <v>9.0479999999999977E-2</v>
      </c>
      <c r="H33" s="20">
        <f>[59]실험기록부!$H$11</f>
        <v>2.5</v>
      </c>
      <c r="I33" s="27">
        <f>[60]커버3!$G$13</f>
        <v>591</v>
      </c>
      <c r="J33" s="99">
        <f>[59]일반사항!$D$28</f>
        <v>15.1</v>
      </c>
    </row>
    <row r="34" spans="1:10" ht="20.100000000000001" customHeight="1" thickBot="1">
      <c r="A34" s="28">
        <f>[61]일반사항!$B$4</f>
        <v>44286</v>
      </c>
      <c r="B34" s="29">
        <f>[61]일반사항!$E$28</f>
        <v>6.65</v>
      </c>
      <c r="C34" s="46">
        <f>[61]실험기록부!$C$11</f>
        <v>1.0399999999999991</v>
      </c>
      <c r="D34" s="30">
        <f>[61]실험기록부!$D$11</f>
        <v>6.84358210078</v>
      </c>
      <c r="E34" s="31">
        <f>[61]실험기록부!$E$11</f>
        <v>2.6000000000000227</v>
      </c>
      <c r="F34" s="32">
        <f>[61]실험기록부!$F$11</f>
        <v>8.4758399999999998</v>
      </c>
      <c r="G34" s="32">
        <f>[61]실험기록부!$G$11</f>
        <v>9.1776000000000024E-2</v>
      </c>
      <c r="H34" s="33">
        <f>[61]실험기록부!$H$11</f>
        <v>6.5</v>
      </c>
      <c r="I34" s="34">
        <f>[62]커버3!$G$13</f>
        <v>628</v>
      </c>
      <c r="J34" s="99">
        <f>[61]일반사항!$D$28</f>
        <v>15.25</v>
      </c>
    </row>
    <row r="35" spans="1:10" ht="20.100000000000001" customHeight="1" thickTop="1">
      <c r="A35" s="15" t="s">
        <v>0</v>
      </c>
      <c r="B35" s="37">
        <f>MAX(B4:B34)</f>
        <v>6.7050000000000001</v>
      </c>
      <c r="C35" s="35">
        <f t="shared" ref="C35:I35" si="0">MAX(C4:C34)</f>
        <v>1.907</v>
      </c>
      <c r="D35" s="35">
        <f t="shared" si="0"/>
        <v>8.0709088459549996</v>
      </c>
      <c r="E35" s="35">
        <f t="shared" si="0"/>
        <v>3.2000000000000175</v>
      </c>
      <c r="F35" s="40">
        <f t="shared" si="0"/>
        <v>10.9056</v>
      </c>
      <c r="G35" s="40">
        <f t="shared" si="0"/>
        <v>0.22700000000000001</v>
      </c>
      <c r="H35" s="84">
        <f t="shared" si="0"/>
        <v>9.5</v>
      </c>
      <c r="I35" s="87">
        <f t="shared" si="0"/>
        <v>861</v>
      </c>
    </row>
    <row r="36" spans="1:10" ht="20.100000000000001" customHeight="1">
      <c r="A36" s="1" t="s">
        <v>1</v>
      </c>
      <c r="B36" s="38">
        <f>MIN(B5:B34)</f>
        <v>6.62</v>
      </c>
      <c r="C36" s="4">
        <f t="shared" ref="C36:I36" si="1">MIN(C5:C34)</f>
        <v>0.97000000000000064</v>
      </c>
      <c r="D36" s="4">
        <f t="shared" si="1"/>
        <v>4.5156928173170003</v>
      </c>
      <c r="E36" s="4">
        <f t="shared" si="1"/>
        <v>2</v>
      </c>
      <c r="F36" s="41">
        <f t="shared" si="1"/>
        <v>6.6288</v>
      </c>
      <c r="G36" s="41">
        <f t="shared" si="1"/>
        <v>5.5E-2</v>
      </c>
      <c r="H36" s="85">
        <f t="shared" si="1"/>
        <v>0.5</v>
      </c>
      <c r="I36" s="88">
        <f t="shared" si="1"/>
        <v>518</v>
      </c>
    </row>
    <row r="37" spans="1:10" ht="20.100000000000001" customHeight="1" thickBot="1">
      <c r="A37" s="2" t="s">
        <v>2</v>
      </c>
      <c r="B37" s="39">
        <f>AVERAGE(B4:B34)</f>
        <v>6.6611290322580654</v>
      </c>
      <c r="C37" s="36">
        <f t="shared" ref="C37:I37" si="2">AVERAGE(C4:C34)</f>
        <v>1.2076451612903223</v>
      </c>
      <c r="D37" s="36">
        <f t="shared" si="2"/>
        <v>6.1190887220188195</v>
      </c>
      <c r="E37" s="36">
        <f t="shared" si="2"/>
        <v>2.6548387096774246</v>
      </c>
      <c r="F37" s="42">
        <f t="shared" si="2"/>
        <v>8.8109341935483876</v>
      </c>
      <c r="G37" s="42">
        <f t="shared" si="2"/>
        <v>9.5461677419354823E-2</v>
      </c>
      <c r="H37" s="86">
        <f t="shared" si="2"/>
        <v>3.129032258064516</v>
      </c>
      <c r="I37" s="89">
        <f t="shared" si="2"/>
        <v>628.41935483870964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2021-02-08T04:13:19Z</cp:lastPrinted>
  <dcterms:created xsi:type="dcterms:W3CDTF">2012-04-09T23:45:26Z</dcterms:created>
  <dcterms:modified xsi:type="dcterms:W3CDTF">2021-04-21T06:43:33Z</dcterms:modified>
</cp:coreProperties>
</file>