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xr:revisionPtr revIDLastSave="0" documentId="13_ncr:1_{6D62361B-2023-4718-A342-EA5438D4E62C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</externalReferences>
  <definedNames>
    <definedName name="_xlnm.Print_Area" localSheetId="2">방류수!$A$1:$I$37</definedName>
    <definedName name="_xlnm.Print_Area" localSheetId="0">유입수!$A$1:$I$37</definedName>
    <definedName name="_xlnm.Print_Area" localSheetId="1">유출수!$A$1:$I$37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4" i="9" l="1"/>
  <c r="J34" i="4"/>
  <c r="E35" i="4" l="1"/>
  <c r="H34" i="10"/>
  <c r="G34" i="10"/>
  <c r="F34" i="10"/>
  <c r="E34" i="10"/>
  <c r="D34" i="10"/>
  <c r="C34" i="10"/>
  <c r="B34" i="10"/>
  <c r="A34" i="10"/>
  <c r="I34" i="9"/>
  <c r="H34" i="9"/>
  <c r="G34" i="9"/>
  <c r="F34" i="9"/>
  <c r="E34" i="9"/>
  <c r="D34" i="9"/>
  <c r="C34" i="9"/>
  <c r="B34" i="9"/>
  <c r="A34" i="9"/>
  <c r="I34" i="4"/>
  <c r="H34" i="4"/>
  <c r="G34" i="4"/>
  <c r="F34" i="4"/>
  <c r="E34" i="4"/>
  <c r="D34" i="4"/>
  <c r="C34" i="4"/>
  <c r="B34" i="4"/>
  <c r="A34" i="4"/>
  <c r="H33" i="10"/>
  <c r="G33" i="10"/>
  <c r="F33" i="10"/>
  <c r="E33" i="10"/>
  <c r="D33" i="10"/>
  <c r="C33" i="10"/>
  <c r="B33" i="10"/>
  <c r="A33" i="10"/>
  <c r="H32" i="10"/>
  <c r="G32" i="10"/>
  <c r="F32" i="10"/>
  <c r="E32" i="10"/>
  <c r="D32" i="10"/>
  <c r="C32" i="10"/>
  <c r="B32" i="10"/>
  <c r="A32" i="10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4" i="10"/>
  <c r="G4" i="10"/>
  <c r="F4" i="10"/>
  <c r="E4" i="10"/>
  <c r="D4" i="10"/>
  <c r="C4" i="10"/>
  <c r="B4" i="10"/>
  <c r="A4" i="10"/>
  <c r="J33" i="9"/>
  <c r="I33" i="9"/>
  <c r="H33" i="9"/>
  <c r="G33" i="9"/>
  <c r="F33" i="9"/>
  <c r="E33" i="9"/>
  <c r="D33" i="9"/>
  <c r="C33" i="9"/>
  <c r="B33" i="9"/>
  <c r="A33" i="9"/>
  <c r="J32" i="9"/>
  <c r="I32" i="9"/>
  <c r="H32" i="9"/>
  <c r="G32" i="9"/>
  <c r="F32" i="9"/>
  <c r="E32" i="9"/>
  <c r="D32" i="9"/>
  <c r="C32" i="9"/>
  <c r="B32" i="9"/>
  <c r="A32" i="9"/>
  <c r="J31" i="9"/>
  <c r="I31" i="9"/>
  <c r="H31" i="9"/>
  <c r="G31" i="9"/>
  <c r="F31" i="9"/>
  <c r="E31" i="9"/>
  <c r="D31" i="9"/>
  <c r="C31" i="9"/>
  <c r="B31" i="9"/>
  <c r="A31" i="9"/>
  <c r="J30" i="9"/>
  <c r="I30" i="9"/>
  <c r="H30" i="9"/>
  <c r="G30" i="9"/>
  <c r="F30" i="9"/>
  <c r="E30" i="9"/>
  <c r="D30" i="9"/>
  <c r="C30" i="9"/>
  <c r="B30" i="9"/>
  <c r="A30" i="9"/>
  <c r="J29" i="9"/>
  <c r="I29" i="9"/>
  <c r="H29" i="9"/>
  <c r="G29" i="9"/>
  <c r="F29" i="9"/>
  <c r="E29" i="9"/>
  <c r="D29" i="9"/>
  <c r="C29" i="9"/>
  <c r="B29" i="9"/>
  <c r="A29" i="9"/>
  <c r="J28" i="9"/>
  <c r="I28" i="9"/>
  <c r="H28" i="9"/>
  <c r="G28" i="9"/>
  <c r="F28" i="9"/>
  <c r="E28" i="9"/>
  <c r="D28" i="9"/>
  <c r="C28" i="9"/>
  <c r="B28" i="9"/>
  <c r="A28" i="9"/>
  <c r="J27" i="9"/>
  <c r="I27" i="9"/>
  <c r="H27" i="9"/>
  <c r="G27" i="9"/>
  <c r="F27" i="9"/>
  <c r="E27" i="9"/>
  <c r="D27" i="9"/>
  <c r="C27" i="9"/>
  <c r="B27" i="9"/>
  <c r="A27" i="9"/>
  <c r="J26" i="9"/>
  <c r="I26" i="9"/>
  <c r="H26" i="9"/>
  <c r="G26" i="9"/>
  <c r="F26" i="9"/>
  <c r="E26" i="9"/>
  <c r="D26" i="9"/>
  <c r="C26" i="9"/>
  <c r="B26" i="9"/>
  <c r="A26" i="9"/>
  <c r="J25" i="9"/>
  <c r="I25" i="9"/>
  <c r="H25" i="9"/>
  <c r="G25" i="9"/>
  <c r="F25" i="9"/>
  <c r="E25" i="9"/>
  <c r="D25" i="9"/>
  <c r="C25" i="9"/>
  <c r="B25" i="9"/>
  <c r="A25" i="9"/>
  <c r="J24" i="9"/>
  <c r="I24" i="9"/>
  <c r="H24" i="9"/>
  <c r="G24" i="9"/>
  <c r="F24" i="9"/>
  <c r="E24" i="9"/>
  <c r="D24" i="9"/>
  <c r="C24" i="9"/>
  <c r="B24" i="9"/>
  <c r="A24" i="9"/>
  <c r="J23" i="9"/>
  <c r="I23" i="9"/>
  <c r="H23" i="9"/>
  <c r="G23" i="9"/>
  <c r="F23" i="9"/>
  <c r="E23" i="9"/>
  <c r="D23" i="9"/>
  <c r="C23" i="9"/>
  <c r="B23" i="9"/>
  <c r="A23" i="9"/>
  <c r="J22" i="9"/>
  <c r="I22" i="9"/>
  <c r="H22" i="9"/>
  <c r="G22" i="9"/>
  <c r="F22" i="9"/>
  <c r="E22" i="9"/>
  <c r="D22" i="9"/>
  <c r="C22" i="9"/>
  <c r="B22" i="9"/>
  <c r="A22" i="9"/>
  <c r="J21" i="9"/>
  <c r="I21" i="9"/>
  <c r="H21" i="9"/>
  <c r="G21" i="9"/>
  <c r="F21" i="9"/>
  <c r="E21" i="9"/>
  <c r="D21" i="9"/>
  <c r="C21" i="9"/>
  <c r="B21" i="9"/>
  <c r="A21" i="9"/>
  <c r="J20" i="9"/>
  <c r="I20" i="9"/>
  <c r="H20" i="9"/>
  <c r="G20" i="9"/>
  <c r="F20" i="9"/>
  <c r="E20" i="9"/>
  <c r="D20" i="9"/>
  <c r="C20" i="9"/>
  <c r="B20" i="9"/>
  <c r="A20" i="9"/>
  <c r="J19" i="9"/>
  <c r="I19" i="9"/>
  <c r="H19" i="9"/>
  <c r="G19" i="9"/>
  <c r="F19" i="9"/>
  <c r="E19" i="9"/>
  <c r="D19" i="9"/>
  <c r="C19" i="9"/>
  <c r="B19" i="9"/>
  <c r="A19" i="9"/>
  <c r="J18" i="9"/>
  <c r="I18" i="9"/>
  <c r="H18" i="9"/>
  <c r="G18" i="9"/>
  <c r="F18" i="9"/>
  <c r="E18" i="9"/>
  <c r="D18" i="9"/>
  <c r="C18" i="9"/>
  <c r="B18" i="9"/>
  <c r="A18" i="9"/>
  <c r="J17" i="9"/>
  <c r="I17" i="9"/>
  <c r="H17" i="9"/>
  <c r="G17" i="9"/>
  <c r="F17" i="9"/>
  <c r="E17" i="9"/>
  <c r="D17" i="9"/>
  <c r="C17" i="9"/>
  <c r="B17" i="9"/>
  <c r="A17" i="9"/>
  <c r="J16" i="9"/>
  <c r="I16" i="9"/>
  <c r="H16" i="9"/>
  <c r="G16" i="9"/>
  <c r="F16" i="9"/>
  <c r="E16" i="9"/>
  <c r="D16" i="9"/>
  <c r="C16" i="9"/>
  <c r="B16" i="9"/>
  <c r="A16" i="9"/>
  <c r="J15" i="9"/>
  <c r="I15" i="9"/>
  <c r="H15" i="9"/>
  <c r="G15" i="9"/>
  <c r="F15" i="9"/>
  <c r="E15" i="9"/>
  <c r="D15" i="9"/>
  <c r="C15" i="9"/>
  <c r="B15" i="9"/>
  <c r="A15" i="9"/>
  <c r="J14" i="9"/>
  <c r="I14" i="9"/>
  <c r="H14" i="9"/>
  <c r="G14" i="9"/>
  <c r="F14" i="9"/>
  <c r="E14" i="9"/>
  <c r="D14" i="9"/>
  <c r="C14" i="9"/>
  <c r="B14" i="9"/>
  <c r="A14" i="9"/>
  <c r="J13" i="9"/>
  <c r="I13" i="9"/>
  <c r="H13" i="9"/>
  <c r="G13" i="9"/>
  <c r="F13" i="9"/>
  <c r="E13" i="9"/>
  <c r="D13" i="9"/>
  <c r="C13" i="9"/>
  <c r="B13" i="9"/>
  <c r="A13" i="9"/>
  <c r="J12" i="9"/>
  <c r="I12" i="9"/>
  <c r="H12" i="9"/>
  <c r="G12" i="9"/>
  <c r="F12" i="9"/>
  <c r="E12" i="9"/>
  <c r="D12" i="9"/>
  <c r="C12" i="9"/>
  <c r="B12" i="9"/>
  <c r="A12" i="9"/>
  <c r="J11" i="9"/>
  <c r="I11" i="9"/>
  <c r="H11" i="9"/>
  <c r="G11" i="9"/>
  <c r="F11" i="9"/>
  <c r="E11" i="9"/>
  <c r="D11" i="9"/>
  <c r="C11" i="9"/>
  <c r="B11" i="9"/>
  <c r="A11" i="9"/>
  <c r="J10" i="9"/>
  <c r="I10" i="9"/>
  <c r="H10" i="9"/>
  <c r="G10" i="9"/>
  <c r="F10" i="9"/>
  <c r="E10" i="9"/>
  <c r="D10" i="9"/>
  <c r="C10" i="9"/>
  <c r="B10" i="9"/>
  <c r="A10" i="9"/>
  <c r="J9" i="9"/>
  <c r="I9" i="9"/>
  <c r="H9" i="9"/>
  <c r="G9" i="9"/>
  <c r="F9" i="9"/>
  <c r="E9" i="9"/>
  <c r="D9" i="9"/>
  <c r="C9" i="9"/>
  <c r="B9" i="9"/>
  <c r="A9" i="9"/>
  <c r="J8" i="9"/>
  <c r="I8" i="9"/>
  <c r="H8" i="9"/>
  <c r="G8" i="9"/>
  <c r="F8" i="9"/>
  <c r="E8" i="9"/>
  <c r="D8" i="9"/>
  <c r="C8" i="9"/>
  <c r="B8" i="9"/>
  <c r="A8" i="9"/>
  <c r="J7" i="9"/>
  <c r="I7" i="9"/>
  <c r="H7" i="9"/>
  <c r="G7" i="9"/>
  <c r="F7" i="9"/>
  <c r="E7" i="9"/>
  <c r="D7" i="9"/>
  <c r="C7" i="9"/>
  <c r="B7" i="9"/>
  <c r="A7" i="9"/>
  <c r="J6" i="9"/>
  <c r="I6" i="9"/>
  <c r="H6" i="9"/>
  <c r="G6" i="9"/>
  <c r="F6" i="9"/>
  <c r="E6" i="9"/>
  <c r="D6" i="9"/>
  <c r="C6" i="9"/>
  <c r="B6" i="9"/>
  <c r="A6" i="9"/>
  <c r="J5" i="9"/>
  <c r="I5" i="9"/>
  <c r="H5" i="9"/>
  <c r="G5" i="9"/>
  <c r="F5" i="9"/>
  <c r="E5" i="9"/>
  <c r="D5" i="9"/>
  <c r="C5" i="9"/>
  <c r="B5" i="9"/>
  <c r="A5" i="9"/>
  <c r="J4" i="9"/>
  <c r="I4" i="9"/>
  <c r="H4" i="9"/>
  <c r="G4" i="9"/>
  <c r="F4" i="9"/>
  <c r="E4" i="9"/>
  <c r="D4" i="9"/>
  <c r="C4" i="9"/>
  <c r="B4" i="9"/>
  <c r="A4" i="9"/>
  <c r="J33" i="4"/>
  <c r="I33" i="4"/>
  <c r="H33" i="4"/>
  <c r="G33" i="4"/>
  <c r="F33" i="4"/>
  <c r="E33" i="4"/>
  <c r="D33" i="4"/>
  <c r="C33" i="4"/>
  <c r="B33" i="4"/>
  <c r="A33" i="4"/>
  <c r="J32" i="4"/>
  <c r="I32" i="4"/>
  <c r="H32" i="4"/>
  <c r="G32" i="4"/>
  <c r="F32" i="4"/>
  <c r="E32" i="4"/>
  <c r="D32" i="4"/>
  <c r="C32" i="4"/>
  <c r="B32" i="4"/>
  <c r="A32" i="4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J28" i="4"/>
  <c r="I28" i="4"/>
  <c r="H28" i="4"/>
  <c r="G28" i="4"/>
  <c r="F28" i="4"/>
  <c r="E28" i="4"/>
  <c r="D28" i="4"/>
  <c r="C28" i="4"/>
  <c r="B28" i="4"/>
  <c r="A28" i="4"/>
  <c r="J27" i="4"/>
  <c r="I27" i="4"/>
  <c r="H27" i="4"/>
  <c r="G27" i="4"/>
  <c r="F27" i="4"/>
  <c r="E27" i="4"/>
  <c r="D27" i="4"/>
  <c r="C27" i="4"/>
  <c r="B27" i="4"/>
  <c r="A27" i="4"/>
  <c r="J26" i="4"/>
  <c r="I26" i="4"/>
  <c r="H26" i="4"/>
  <c r="G26" i="4"/>
  <c r="F26" i="4"/>
  <c r="E26" i="4"/>
  <c r="D26" i="4"/>
  <c r="C26" i="4"/>
  <c r="B26" i="4"/>
  <c r="A26" i="4"/>
  <c r="J25" i="4"/>
  <c r="I25" i="4"/>
  <c r="H25" i="4"/>
  <c r="G25" i="4"/>
  <c r="F25" i="4"/>
  <c r="E25" i="4"/>
  <c r="D25" i="4"/>
  <c r="C25" i="4"/>
  <c r="B25" i="4"/>
  <c r="A25" i="4"/>
  <c r="J24" i="4"/>
  <c r="I24" i="4"/>
  <c r="H24" i="4"/>
  <c r="G24" i="4"/>
  <c r="F24" i="4"/>
  <c r="E24" i="4"/>
  <c r="D24" i="4"/>
  <c r="C24" i="4"/>
  <c r="B24" i="4"/>
  <c r="A24" i="4"/>
  <c r="J23" i="4"/>
  <c r="I23" i="4"/>
  <c r="H23" i="4"/>
  <c r="G23" i="4"/>
  <c r="F23" i="4"/>
  <c r="E23" i="4"/>
  <c r="D23" i="4"/>
  <c r="C23" i="4"/>
  <c r="B23" i="4"/>
  <c r="A23" i="4"/>
  <c r="J22" i="4"/>
  <c r="I22" i="4"/>
  <c r="H22" i="4"/>
  <c r="G22" i="4"/>
  <c r="F22" i="4"/>
  <c r="E22" i="4"/>
  <c r="D22" i="4"/>
  <c r="C22" i="4"/>
  <c r="B22" i="4"/>
  <c r="A22" i="4"/>
  <c r="J21" i="4"/>
  <c r="I21" i="4"/>
  <c r="H21" i="4"/>
  <c r="G21" i="4"/>
  <c r="F21" i="4"/>
  <c r="E21" i="4"/>
  <c r="D21" i="4"/>
  <c r="C21" i="4"/>
  <c r="B21" i="4"/>
  <c r="A21" i="4"/>
  <c r="J20" i="4"/>
  <c r="I20" i="4"/>
  <c r="H20" i="4"/>
  <c r="G20" i="4"/>
  <c r="F20" i="4"/>
  <c r="E20" i="4"/>
  <c r="D20" i="4"/>
  <c r="C20" i="4"/>
  <c r="B20" i="4"/>
  <c r="A20" i="4"/>
  <c r="J19" i="4"/>
  <c r="I19" i="4"/>
  <c r="H19" i="4"/>
  <c r="G19" i="4"/>
  <c r="F19" i="4"/>
  <c r="E19" i="4"/>
  <c r="D19" i="4"/>
  <c r="C19" i="4"/>
  <c r="B19" i="4"/>
  <c r="A19" i="4"/>
  <c r="J18" i="4"/>
  <c r="I18" i="4"/>
  <c r="H18" i="4"/>
  <c r="G18" i="4"/>
  <c r="F18" i="4"/>
  <c r="E18" i="4"/>
  <c r="D18" i="4"/>
  <c r="C18" i="4"/>
  <c r="B18" i="4"/>
  <c r="A18" i="4"/>
  <c r="J17" i="4"/>
  <c r="I17" i="4"/>
  <c r="H17" i="4"/>
  <c r="G17" i="4"/>
  <c r="F17" i="4"/>
  <c r="E17" i="4"/>
  <c r="D17" i="4"/>
  <c r="C17" i="4"/>
  <c r="B17" i="4"/>
  <c r="A17" i="4"/>
  <c r="J16" i="4"/>
  <c r="I16" i="4"/>
  <c r="H16" i="4"/>
  <c r="G16" i="4"/>
  <c r="F16" i="4"/>
  <c r="E16" i="4"/>
  <c r="D16" i="4"/>
  <c r="C16" i="4"/>
  <c r="B16" i="4"/>
  <c r="A16" i="4"/>
  <c r="J15" i="4"/>
  <c r="I15" i="4"/>
  <c r="H15" i="4"/>
  <c r="G15" i="4"/>
  <c r="F15" i="4"/>
  <c r="E15" i="4"/>
  <c r="D15" i="4"/>
  <c r="C15" i="4"/>
  <c r="B15" i="4"/>
  <c r="A15" i="4"/>
  <c r="J14" i="4"/>
  <c r="I14" i="4"/>
  <c r="H14" i="4"/>
  <c r="G14" i="4"/>
  <c r="F14" i="4"/>
  <c r="E14" i="4"/>
  <c r="D14" i="4"/>
  <c r="C14" i="4"/>
  <c r="B14" i="4"/>
  <c r="A14" i="4"/>
  <c r="J13" i="4"/>
  <c r="I13" i="4"/>
  <c r="H13" i="4"/>
  <c r="G13" i="4"/>
  <c r="F13" i="4"/>
  <c r="E13" i="4"/>
  <c r="D13" i="4"/>
  <c r="C13" i="4"/>
  <c r="B13" i="4"/>
  <c r="A13" i="4"/>
  <c r="J12" i="4"/>
  <c r="I12" i="4"/>
  <c r="H12" i="4"/>
  <c r="G12" i="4"/>
  <c r="F12" i="4"/>
  <c r="E12" i="4"/>
  <c r="D12" i="4"/>
  <c r="C12" i="4"/>
  <c r="B12" i="4"/>
  <c r="A12" i="4"/>
  <c r="J11" i="4"/>
  <c r="I11" i="4"/>
  <c r="H11" i="4"/>
  <c r="G11" i="4"/>
  <c r="F11" i="4"/>
  <c r="E11" i="4"/>
  <c r="D11" i="4"/>
  <c r="C11" i="4"/>
  <c r="B11" i="4"/>
  <c r="A11" i="4"/>
  <c r="J10" i="4"/>
  <c r="I10" i="4"/>
  <c r="H10" i="4"/>
  <c r="G10" i="4"/>
  <c r="F10" i="4"/>
  <c r="E10" i="4"/>
  <c r="D10" i="4"/>
  <c r="C10" i="4"/>
  <c r="B10" i="4"/>
  <c r="A10" i="4"/>
  <c r="J9" i="4"/>
  <c r="I9" i="4"/>
  <c r="H9" i="4"/>
  <c r="G9" i="4"/>
  <c r="F9" i="4"/>
  <c r="E9" i="4"/>
  <c r="D9" i="4"/>
  <c r="C9" i="4"/>
  <c r="B9" i="4"/>
  <c r="A9" i="4"/>
  <c r="J8" i="4"/>
  <c r="I8" i="4"/>
  <c r="H8" i="4"/>
  <c r="G8" i="4"/>
  <c r="F8" i="4"/>
  <c r="E8" i="4"/>
  <c r="D8" i="4"/>
  <c r="C8" i="4"/>
  <c r="B8" i="4"/>
  <c r="A8" i="4"/>
  <c r="J7" i="4"/>
  <c r="I7" i="4"/>
  <c r="H7" i="4"/>
  <c r="G7" i="4"/>
  <c r="F7" i="4"/>
  <c r="E7" i="4"/>
  <c r="D7" i="4"/>
  <c r="C7" i="4"/>
  <c r="B7" i="4"/>
  <c r="A7" i="4"/>
  <c r="J6" i="4"/>
  <c r="I6" i="4"/>
  <c r="H6" i="4"/>
  <c r="G6" i="4"/>
  <c r="F6" i="4"/>
  <c r="E6" i="4"/>
  <c r="D6" i="4"/>
  <c r="C6" i="4"/>
  <c r="B6" i="4"/>
  <c r="A6" i="4"/>
  <c r="J5" i="4"/>
  <c r="I5" i="4"/>
  <c r="H5" i="4"/>
  <c r="H35" i="4" s="1"/>
  <c r="G5" i="4"/>
  <c r="F5" i="4"/>
  <c r="E5" i="4"/>
  <c r="D5" i="4"/>
  <c r="C5" i="4"/>
  <c r="B5" i="4"/>
  <c r="A5" i="4"/>
  <c r="J4" i="4"/>
  <c r="I4" i="4"/>
  <c r="I35" i="4" s="1"/>
  <c r="H4" i="4"/>
  <c r="G4" i="4"/>
  <c r="G35" i="4" s="1"/>
  <c r="F4" i="4"/>
  <c r="F35" i="4" s="1"/>
  <c r="E4" i="4"/>
  <c r="D4" i="4"/>
  <c r="D35" i="4" s="1"/>
  <c r="C4" i="4"/>
  <c r="C35" i="4" s="1"/>
  <c r="B4" i="4"/>
  <c r="B35" i="4" s="1"/>
  <c r="A4" i="4"/>
  <c r="I36" i="4" l="1"/>
  <c r="I37" i="4" l="1"/>
  <c r="I35" i="9"/>
  <c r="I36" i="9"/>
  <c r="I37" i="9"/>
  <c r="K13" i="10"/>
  <c r="K14" i="10"/>
  <c r="K27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6" i="4"/>
  <c r="B36" i="4"/>
  <c r="F36" i="10" l="1"/>
  <c r="C36" i="10"/>
  <c r="B36" i="10"/>
  <c r="H36" i="10"/>
  <c r="G36" i="10"/>
  <c r="D36" i="10"/>
  <c r="E36" i="10"/>
  <c r="C37" i="4"/>
  <c r="G37" i="4"/>
  <c r="D37" i="4"/>
  <c r="H37" i="4"/>
  <c r="C36" i="4"/>
  <c r="G36" i="4"/>
  <c r="E37" i="4"/>
  <c r="D36" i="4"/>
  <c r="H36" i="4"/>
  <c r="E36" i="9"/>
  <c r="B37" i="4"/>
  <c r="F37" i="4"/>
  <c r="E36" i="4"/>
  <c r="G35" i="9"/>
  <c r="G37" i="9"/>
  <c r="B36" i="9"/>
  <c r="D37" i="9"/>
  <c r="D35" i="9"/>
  <c r="H37" i="9"/>
  <c r="H35" i="9"/>
  <c r="C36" i="9"/>
  <c r="G36" i="9"/>
  <c r="H36" i="9"/>
  <c r="B35" i="9"/>
  <c r="B37" i="9"/>
  <c r="F37" i="9"/>
  <c r="F35" i="9"/>
  <c r="C35" i="9"/>
  <c r="C37" i="9"/>
  <c r="F36" i="9"/>
  <c r="E35" i="9"/>
  <c r="E37" i="9"/>
  <c r="D36" i="9"/>
  <c r="D37" i="10"/>
  <c r="D35" i="10"/>
  <c r="E35" i="10"/>
  <c r="E37" i="10"/>
  <c r="H37" i="10"/>
  <c r="H35" i="10"/>
  <c r="B35" i="10"/>
  <c r="B37" i="10"/>
  <c r="F35" i="10"/>
  <c r="F37" i="10"/>
  <c r="C35" i="10"/>
  <c r="C37" i="10"/>
  <c r="G35" i="10"/>
  <c r="G37" i="10"/>
  <c r="J37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<sst xmlns="http://schemas.openxmlformats.org/spreadsheetml/2006/main" count="50" uniqueCount="27">
  <si>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</si>
  <si>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</si>
  <si>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</si>
  <si>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</si>
  <si>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</si>
  <si>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</si>
  <si>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</si>
  <si>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</si>
  <si>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</si>
  <si>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</si>
  <si>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</si>
  <si>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</si>
  <si>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</si>
  <si>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</si>
  <si>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</si>
  <si>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</si>
  <si>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</si>
  <si>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</si>
  <si>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</si>
  <si>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</si>
  <si>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</si>
  <si>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</si>
  <si>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</si>
  <si>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TOC</t>
    <phoneticPr fontId="1" type="noConversion"/>
  </si>
  <si>
    <t>■ 황간공공하수처리시설 월보 (7월) - 유입수</t>
  </si>
  <si>
    <t>■ 황간공공하수처리시설 월보 (7월) - 방류수</t>
  </si>
  <si>
    <t>■ 황간공공하수처리시설 월보 (7월) - 총인유입수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</si>
</sst>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  <numFmt numFmtId="188" formatCode="0.0_ 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5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6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5" xfId="0" applyNumberFormat="1" applyBorder="1" applyAlignment="1">
      <alignment horizontal="center" vertical="center"/>
    </xf>
    <xf numFmtId="182" fontId="0" fillId="0" borderId="26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188" fontId="2" fillId="0" borderId="15" xfId="0" applyNumberFormat="1" applyFont="1" applyBorder="1" applyAlignment="1">
      <alignment horizontal="center" vertical="center"/>
    </xf>
    <xf numFmtId="188" fontId="2" fillId="3" borderId="15" xfId="0" applyNumberFormat="1" applyFont="1" applyFill="1" applyBorder="1" applyAlignment="1">
      <alignment horizontal="center" vertical="center"/>
    </xf>
    <xf numFmtId="188" fontId="8" fillId="0" borderId="7" xfId="1" applyNumberFormat="1" applyFont="1" applyFill="1" applyBorder="1" applyAlignment="1">
      <alignment horizontal="center" vertical="center" shrinkToFit="1"/>
    </xf>
    <xf numFmtId="188" fontId="8" fillId="3" borderId="7" xfId="1" applyNumberFormat="1" applyFont="1" applyFill="1" applyBorder="1" applyAlignment="1">
      <alignment horizontal="center" vertical="center" shrinkToFit="1"/>
    </xf>
    <xf numFmtId="188" fontId="7" fillId="0" borderId="7" xfId="0" applyNumberFormat="1" applyFont="1" applyFill="1" applyBorder="1" applyAlignment="1">
      <alignment horizontal="center" vertical="center"/>
    </xf>
    <xf numFmtId="188" fontId="8" fillId="0" borderId="2" xfId="1" applyNumberFormat="1" applyFont="1" applyFill="1" applyBorder="1" applyAlignment="1">
      <alignment horizontal="center" vertical="center" shrinkToFit="1"/>
    </xf>
    <xf numFmtId="188" fontId="8" fillId="3" borderId="2" xfId="1" applyNumberFormat="1" applyFont="1" applyFill="1" applyBorder="1" applyAlignment="1">
      <alignment horizontal="center" vertical="center" shrinkToFit="1"/>
    </xf>
    <xf numFmtId="188" fontId="7" fillId="0" borderId="2" xfId="0" applyNumberFormat="1" applyFont="1" applyFill="1" applyBorder="1" applyAlignment="1">
      <alignment horizontal="center" vertical="center"/>
    </xf>
    <xf numFmtId="188" fontId="8" fillId="0" borderId="15" xfId="1" applyNumberFormat="1" applyFont="1" applyFill="1" applyBorder="1" applyAlignment="1">
      <alignment horizontal="center" vertical="center" shrinkToFit="1"/>
    </xf>
    <xf numFmtId="188" fontId="8" fillId="3" borderId="15" xfId="1" applyNumberFormat="1" applyFont="1" applyFill="1" applyBorder="1" applyAlignment="1">
      <alignment horizontal="center" vertical="center" shrinkToFit="1"/>
    </xf>
    <xf numFmtId="188" fontId="7" fillId="0" borderId="15" xfId="0" applyNumberFormat="1" applyFont="1" applyFill="1" applyBorder="1" applyAlignment="1">
      <alignment horizontal="center" vertical="center"/>
    </xf>
    <xf numFmtId="188" fontId="0" fillId="0" borderId="18" xfId="0" applyNumberFormat="1" applyBorder="1" applyAlignment="1">
      <alignment horizontal="center" vertical="center"/>
    </xf>
    <xf numFmtId="188" fontId="0" fillId="0" borderId="2" xfId="0" applyNumberFormat="1" applyBorder="1" applyAlignment="1">
      <alignment horizontal="center" vertical="center"/>
    </xf>
    <xf numFmtId="188" fontId="0" fillId="0" borderId="5" xfId="0" applyNumberFormat="1" applyBorder="1" applyAlignment="1">
      <alignment horizontal="center" vertical="center"/>
    </xf>
    <xf numFmtId="188" fontId="0" fillId="0" borderId="0" xfId="0" applyNumberFormat="1">
      <alignment vertical="center"/>
    </xf>
    <xf numFmtId="188" fontId="0" fillId="2" borderId="0" xfId="0" applyNumberFormat="1" applyFill="1">
      <alignment vertical="center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externalLink" Target="externalLinks/externalLink58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styles" Target="styles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5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6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6&#510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7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7&#510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8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8&#510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9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9&#5106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0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1&#5106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10&#510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11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2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12&#5106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3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13&#510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4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14&#510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5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15&#510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6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16&#5106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7&#51068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17&#510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8&#51068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18&#5106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9&#5106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19&#5106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0&#5106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2&#5106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20&#510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1&#51068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21&#5106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2&#5106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22&#5106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3&#51068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23&#5106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4&#51068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24&#5106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5&#5106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3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25&#5106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6&#5106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26&#51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7&#51068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27&#5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8&#51068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28&#510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9&#51068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29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30&#5106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3&#51068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30&#51068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31&#51068;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31&#5106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4&#5106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7&#50900;/4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5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44378</v>
          </cell>
        </row>
        <row r="26">
          <cell r="D26">
            <v>23.15</v>
          </cell>
          <cell r="E26">
            <v>7.5350000000000001</v>
          </cell>
        </row>
        <row r="27">
          <cell r="E27">
            <v>6.8849999999999998</v>
          </cell>
        </row>
        <row r="28">
          <cell r="D28">
            <v>23.05</v>
          </cell>
          <cell r="E28">
            <v>7.1</v>
          </cell>
        </row>
      </sheetData>
      <sheetData sheetId="1">
        <row r="9">
          <cell r="C9">
            <v>153.60000000000002</v>
          </cell>
          <cell r="D9">
            <v>78.367700278932006</v>
          </cell>
          <cell r="E9">
            <v>146.66666666666686</v>
          </cell>
          <cell r="F9">
            <v>39.693600000000004</v>
          </cell>
          <cell r="G9">
            <v>4.50528</v>
          </cell>
          <cell r="H9">
            <v>200000</v>
          </cell>
        </row>
        <row r="10">
          <cell r="C10">
            <v>7.6349999999999998</v>
          </cell>
          <cell r="D10">
            <v>10.781605074591999</v>
          </cell>
          <cell r="E10">
            <v>7.1999999999999895</v>
          </cell>
          <cell r="F10">
            <v>4.3991999999999996</v>
          </cell>
          <cell r="G10">
            <v>0.31502400000000003</v>
          </cell>
          <cell r="H10">
            <v>810</v>
          </cell>
        </row>
        <row r="11">
          <cell r="C11">
            <v>1.1800000000000006</v>
          </cell>
          <cell r="D11">
            <v>4.6042845801560004</v>
          </cell>
          <cell r="E11">
            <v>2.8000000000000114</v>
          </cell>
          <cell r="F11">
            <v>2.8776000000000002</v>
          </cell>
          <cell r="G11">
            <v>6.2544000000000002E-2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684</v>
          </cell>
        </row>
        <row r="13">
          <cell r="G13">
            <v>790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44383</v>
          </cell>
        </row>
        <row r="26">
          <cell r="D26">
            <v>23.55</v>
          </cell>
          <cell r="E26">
            <v>7.5649999999999995</v>
          </cell>
        </row>
        <row r="27">
          <cell r="E27">
            <v>6.8949999999999996</v>
          </cell>
        </row>
        <row r="28">
          <cell r="D28">
            <v>23.35</v>
          </cell>
          <cell r="E28">
            <v>7.15</v>
          </cell>
        </row>
      </sheetData>
      <sheetData sheetId="1">
        <row r="9">
          <cell r="C9">
            <v>152.69999999999999</v>
          </cell>
          <cell r="D9">
            <v>52.266310042496002</v>
          </cell>
          <cell r="E9">
            <v>159.99999999999991</v>
          </cell>
          <cell r="F9">
            <v>35.591999999999999</v>
          </cell>
          <cell r="G9">
            <v>2.3587199999999999</v>
          </cell>
          <cell r="H9">
            <v>210000</v>
          </cell>
        </row>
        <row r="10">
          <cell r="C10">
            <v>7.875</v>
          </cell>
          <cell r="D10">
            <v>16.061662435643999</v>
          </cell>
          <cell r="E10">
            <v>5.2000000000000455</v>
          </cell>
          <cell r="F10">
            <v>7.975200000000001</v>
          </cell>
          <cell r="G10">
            <v>0.40468799999999999</v>
          </cell>
          <cell r="H10">
            <v>780</v>
          </cell>
        </row>
        <row r="11">
          <cell r="C11">
            <v>1.1300000000000008</v>
          </cell>
          <cell r="D11">
            <v>5.4977651769240001</v>
          </cell>
          <cell r="E11">
            <v>2.4000000000000052</v>
          </cell>
          <cell r="F11">
            <v>5.5382400000000001</v>
          </cell>
          <cell r="G11">
            <v>7.891200000000001E-2</v>
          </cell>
          <cell r="H11">
            <v>3.5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1011</v>
          </cell>
        </row>
        <row r="13">
          <cell r="G13">
            <v>1066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44384</v>
          </cell>
        </row>
        <row r="26">
          <cell r="D26">
            <v>23.65</v>
          </cell>
          <cell r="E26">
            <v>7.5549999999999997</v>
          </cell>
        </row>
        <row r="27">
          <cell r="E27">
            <v>6.9050000000000002</v>
          </cell>
        </row>
        <row r="28">
          <cell r="D28">
            <v>23.5</v>
          </cell>
          <cell r="E28">
            <v>7.0149999999999997</v>
          </cell>
        </row>
      </sheetData>
      <sheetData sheetId="1">
        <row r="9">
          <cell r="C9">
            <v>149.99999999999997</v>
          </cell>
          <cell r="D9">
            <v>65.809258571135999</v>
          </cell>
          <cell r="E9">
            <v>163.33333333333351</v>
          </cell>
          <cell r="F9">
            <v>55.972799999999999</v>
          </cell>
          <cell r="G9">
            <v>2.9918399999999998</v>
          </cell>
          <cell r="H9">
            <v>200000</v>
          </cell>
        </row>
        <row r="10">
          <cell r="C10">
            <v>7.8149999999999995</v>
          </cell>
          <cell r="D10">
            <v>13.732122127756</v>
          </cell>
          <cell r="E10">
            <v>7.1999999999999895</v>
          </cell>
          <cell r="F10">
            <v>7.10304</v>
          </cell>
          <cell r="G10">
            <v>0.45791999999999999</v>
          </cell>
          <cell r="H10">
            <v>740</v>
          </cell>
        </row>
        <row r="11">
          <cell r="C11">
            <v>1.0999999999999988</v>
          </cell>
          <cell r="D11">
            <v>4.2307159937919998</v>
          </cell>
          <cell r="E11">
            <v>2.8000000000000114</v>
          </cell>
          <cell r="F11">
            <v>5.32416</v>
          </cell>
          <cell r="G11">
            <v>7.1663999999999992E-2</v>
          </cell>
          <cell r="H11">
            <v>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1004</v>
          </cell>
        </row>
        <row r="13">
          <cell r="G13">
            <v>1127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44385</v>
          </cell>
        </row>
        <row r="26">
          <cell r="D26">
            <v>23.7</v>
          </cell>
          <cell r="E26">
            <v>7.4350000000000005</v>
          </cell>
        </row>
        <row r="27">
          <cell r="E27">
            <v>6.915</v>
          </cell>
        </row>
        <row r="28">
          <cell r="D28">
            <v>23.6</v>
          </cell>
          <cell r="E28">
            <v>7.0250000000000004</v>
          </cell>
        </row>
      </sheetData>
      <sheetData sheetId="1">
        <row r="9">
          <cell r="C9">
            <v>190.20000000000002</v>
          </cell>
          <cell r="D9">
            <v>22.737324956091999</v>
          </cell>
          <cell r="E9">
            <v>203.33333333333314</v>
          </cell>
          <cell r="F9">
            <v>40.7136</v>
          </cell>
          <cell r="G9">
            <v>2.1715200000000001</v>
          </cell>
          <cell r="H9">
            <v>220000</v>
          </cell>
        </row>
        <row r="10">
          <cell r="C10">
            <v>7.5</v>
          </cell>
          <cell r="D10">
            <v>14.715980964388001</v>
          </cell>
          <cell r="E10">
            <v>13.199999999999989</v>
          </cell>
          <cell r="F10">
            <v>8.5444800000000001</v>
          </cell>
          <cell r="G10">
            <v>0.59726399999999991</v>
          </cell>
          <cell r="H10">
            <v>710</v>
          </cell>
        </row>
        <row r="11">
          <cell r="C11">
            <v>1.7800000000000011</v>
          </cell>
          <cell r="D11">
            <v>4.9326300926000002</v>
          </cell>
          <cell r="E11">
            <v>1.8000000000000114</v>
          </cell>
          <cell r="F11">
            <v>4.4740799999999998</v>
          </cell>
          <cell r="G11">
            <v>8.5487999999999995E-2</v>
          </cell>
          <cell r="H11">
            <v>3.5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1001</v>
          </cell>
        </row>
        <row r="13">
          <cell r="G13">
            <v>1142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44386</v>
          </cell>
        </row>
        <row r="26">
          <cell r="D26">
            <v>23.6</v>
          </cell>
          <cell r="E26">
            <v>7.5750000000000002</v>
          </cell>
        </row>
        <row r="27">
          <cell r="E27">
            <v>6.8449999999999998</v>
          </cell>
        </row>
        <row r="28">
          <cell r="D28">
            <v>23.5</v>
          </cell>
          <cell r="E28">
            <v>7.0350000000000001</v>
          </cell>
        </row>
      </sheetData>
      <sheetData sheetId="1">
        <row r="9">
          <cell r="C9">
            <v>167.10000000000002</v>
          </cell>
          <cell r="D9">
            <v>47.597020745724002</v>
          </cell>
          <cell r="E9">
            <v>163.33333333333351</v>
          </cell>
          <cell r="F9">
            <v>32.268000000000001</v>
          </cell>
          <cell r="G9">
            <v>2.7715199999999998</v>
          </cell>
          <cell r="H9">
            <v>190000</v>
          </cell>
        </row>
        <row r="10">
          <cell r="C10">
            <v>8.0249999999999986</v>
          </cell>
          <cell r="D10">
            <v>20.295623771477999</v>
          </cell>
          <cell r="E10">
            <v>10</v>
          </cell>
          <cell r="F10">
            <v>5.7873599999999996</v>
          </cell>
          <cell r="G10">
            <v>0.59721599999999997</v>
          </cell>
          <cell r="H10">
            <v>790</v>
          </cell>
        </row>
        <row r="11">
          <cell r="C11">
            <v>1.0099999999999998</v>
          </cell>
          <cell r="D11">
            <v>4.9436728214560004</v>
          </cell>
          <cell r="E11">
            <v>2.6000000000000227</v>
          </cell>
          <cell r="F11">
            <v>4.4615999999999989</v>
          </cell>
          <cell r="G11">
            <v>8.1264000000000003E-2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1046</v>
          </cell>
        </row>
        <row r="13">
          <cell r="G13">
            <v>1128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44387</v>
          </cell>
        </row>
        <row r="26">
          <cell r="D26">
            <v>23.55</v>
          </cell>
          <cell r="E26">
            <v>7.42</v>
          </cell>
        </row>
        <row r="27">
          <cell r="E27">
            <v>0</v>
          </cell>
        </row>
        <row r="28">
          <cell r="D28">
            <v>23.45</v>
          </cell>
          <cell r="E28">
            <v>7.0049999999999999</v>
          </cell>
        </row>
      </sheetData>
      <sheetData sheetId="1">
        <row r="9">
          <cell r="C9">
            <v>150.29999999999998</v>
          </cell>
          <cell r="D9">
            <v>47.372792501040003</v>
          </cell>
          <cell r="E9">
            <v>150</v>
          </cell>
          <cell r="F9">
            <v>41.951999999999998</v>
          </cell>
          <cell r="G9">
            <v>4.1428799999999999</v>
          </cell>
          <cell r="H9">
            <v>220000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1.4200000000000008</v>
          </cell>
          <cell r="D11">
            <v>5.3674775410600004</v>
          </cell>
          <cell r="E11">
            <v>1.7</v>
          </cell>
          <cell r="F11">
            <v>5.867</v>
          </cell>
          <cell r="G11">
            <v>0.11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582</v>
          </cell>
        </row>
        <row r="13">
          <cell r="G13">
            <v>427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969</v>
          </cell>
        </row>
        <row r="13">
          <cell r="G13">
            <v>1022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44388</v>
          </cell>
        </row>
        <row r="26">
          <cell r="D26">
            <v>23.65</v>
          </cell>
          <cell r="E26">
            <v>7.3900000000000006</v>
          </cell>
        </row>
        <row r="27">
          <cell r="E27">
            <v>0</v>
          </cell>
        </row>
        <row r="28">
          <cell r="D28">
            <v>23.65</v>
          </cell>
          <cell r="E28">
            <v>7.0149999999999997</v>
          </cell>
        </row>
      </sheetData>
      <sheetData sheetId="1">
        <row r="9">
          <cell r="C9">
            <v>156.00000000000003</v>
          </cell>
          <cell r="D9">
            <v>50.924349256791999</v>
          </cell>
          <cell r="E9">
            <v>170.00000000000028</v>
          </cell>
          <cell r="F9">
            <v>47.201999999999998</v>
          </cell>
          <cell r="G9">
            <v>4.6739999999999995</v>
          </cell>
          <cell r="H9">
            <v>220000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1.4399999999999995</v>
          </cell>
          <cell r="D11">
            <v>5.3413576121680002</v>
          </cell>
          <cell r="E11">
            <v>1.8</v>
          </cell>
          <cell r="F11">
            <v>5.133</v>
          </cell>
          <cell r="G11">
            <v>0.12</v>
          </cell>
          <cell r="H11">
            <v>4.5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956</v>
          </cell>
        </row>
        <row r="13">
          <cell r="G13">
            <v>1009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44389</v>
          </cell>
        </row>
        <row r="26">
          <cell r="D26">
            <v>23.7</v>
          </cell>
          <cell r="E26">
            <v>7.4950000000000001</v>
          </cell>
        </row>
        <row r="27">
          <cell r="E27">
            <v>6.91</v>
          </cell>
        </row>
        <row r="28">
          <cell r="D28">
            <v>23.6</v>
          </cell>
          <cell r="E28">
            <v>7.0150000000000006</v>
          </cell>
        </row>
      </sheetData>
      <sheetData sheetId="1">
        <row r="9">
          <cell r="C9">
            <v>164.1</v>
          </cell>
          <cell r="D9">
            <v>54.610007092464002</v>
          </cell>
          <cell r="E9">
            <v>186.66666666666649</v>
          </cell>
          <cell r="F9">
            <v>26.380800000000001</v>
          </cell>
          <cell r="G9">
            <v>2.5951200000000001</v>
          </cell>
          <cell r="H9">
            <v>210000</v>
          </cell>
        </row>
        <row r="10">
          <cell r="C10">
            <v>9.7950000000000017</v>
          </cell>
          <cell r="D10">
            <v>11.454680733448001</v>
          </cell>
          <cell r="E10">
            <v>17.199999999999989</v>
          </cell>
          <cell r="F10">
            <v>8.3332799999999985</v>
          </cell>
          <cell r="G10">
            <v>0.32318399999999997</v>
          </cell>
          <cell r="H10">
            <v>700</v>
          </cell>
        </row>
        <row r="11">
          <cell r="C11">
            <v>1.5599999999999996</v>
          </cell>
          <cell r="D11">
            <v>5.8147729472679996</v>
          </cell>
          <cell r="E11">
            <v>2</v>
          </cell>
          <cell r="F11">
            <v>6.4608000000000008</v>
          </cell>
          <cell r="G11">
            <v>8.2512000000000002E-2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760</v>
          </cell>
        </row>
        <row r="13">
          <cell r="G13">
            <v>711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44390</v>
          </cell>
        </row>
        <row r="26">
          <cell r="D26">
            <v>23.55</v>
          </cell>
          <cell r="E26">
            <v>7.32</v>
          </cell>
        </row>
        <row r="27">
          <cell r="E27">
            <v>6.9050000000000002</v>
          </cell>
        </row>
        <row r="28">
          <cell r="D28">
            <v>23.85</v>
          </cell>
          <cell r="E28">
            <v>6.8449999999999998</v>
          </cell>
        </row>
      </sheetData>
      <sheetData sheetId="1">
        <row r="9">
          <cell r="C9">
            <v>197.7</v>
          </cell>
          <cell r="D9">
            <v>31.379402074123998</v>
          </cell>
          <cell r="E9">
            <v>223.33333333333343</v>
          </cell>
          <cell r="F9">
            <v>49.197600000000001</v>
          </cell>
          <cell r="G9">
            <v>4.7779199999999999</v>
          </cell>
          <cell r="H9">
            <v>210000</v>
          </cell>
        </row>
        <row r="10">
          <cell r="C10">
            <v>9.2099999999999991</v>
          </cell>
          <cell r="D10">
            <v>5.6542265151660001</v>
          </cell>
          <cell r="E10">
            <v>10.800000000000011</v>
          </cell>
          <cell r="F10">
            <v>11.025119999999999</v>
          </cell>
          <cell r="G10">
            <v>0.53424000000000005</v>
          </cell>
          <cell r="H10">
            <v>780</v>
          </cell>
        </row>
        <row r="11">
          <cell r="C11">
            <v>1.75</v>
          </cell>
          <cell r="D11">
            <v>4.17596875015</v>
          </cell>
          <cell r="E11">
            <v>2.2000000000000175</v>
          </cell>
          <cell r="F11">
            <v>6.0321600000000002</v>
          </cell>
          <cell r="G11">
            <v>4.8287999999999991E-2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804</v>
          </cell>
        </row>
        <row r="13">
          <cell r="G13">
            <v>820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44391</v>
          </cell>
        </row>
        <row r="26">
          <cell r="D26">
            <v>23.45</v>
          </cell>
          <cell r="E26">
            <v>7.2899999999999991</v>
          </cell>
        </row>
        <row r="27">
          <cell r="E27">
            <v>6.8949999999999996</v>
          </cell>
        </row>
        <row r="28">
          <cell r="D28">
            <v>23.65</v>
          </cell>
          <cell r="E28">
            <v>6.82</v>
          </cell>
        </row>
      </sheetData>
      <sheetData sheetId="1">
        <row r="9">
          <cell r="C9">
            <v>184.20000000000002</v>
          </cell>
          <cell r="D9">
            <v>118.398563925768</v>
          </cell>
          <cell r="E9">
            <v>153.3333333333336</v>
          </cell>
          <cell r="F9">
            <v>41.786399999999993</v>
          </cell>
          <cell r="G9">
            <v>3.3292800000000007</v>
          </cell>
          <cell r="H9">
            <v>170000</v>
          </cell>
        </row>
        <row r="10">
          <cell r="C10">
            <v>10.965</v>
          </cell>
          <cell r="D10">
            <v>6.4810871618719998</v>
          </cell>
          <cell r="E10">
            <v>12.800000000000011</v>
          </cell>
          <cell r="F10">
            <v>11.84112</v>
          </cell>
          <cell r="G10">
            <v>0.44183999999999996</v>
          </cell>
          <cell r="H10">
            <v>680</v>
          </cell>
        </row>
        <row r="11">
          <cell r="C11">
            <v>1.2399999999999993</v>
          </cell>
          <cell r="D11">
            <v>6.6266075675760003</v>
          </cell>
          <cell r="E11">
            <v>2.6000000000000227</v>
          </cell>
          <cell r="F11">
            <v>6.5659200000000002</v>
          </cell>
          <cell r="G11">
            <v>5.7839999999999989E-2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749</v>
          </cell>
        </row>
        <row r="13">
          <cell r="G13">
            <v>854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44392</v>
          </cell>
        </row>
        <row r="26">
          <cell r="D26">
            <v>23.5</v>
          </cell>
          <cell r="E26">
            <v>7.3949999999999996</v>
          </cell>
        </row>
        <row r="27">
          <cell r="E27">
            <v>6.9050000000000002</v>
          </cell>
        </row>
        <row r="28">
          <cell r="D28">
            <v>12.98</v>
          </cell>
          <cell r="E28">
            <v>6.84</v>
          </cell>
        </row>
      </sheetData>
      <sheetData sheetId="1">
        <row r="9">
          <cell r="C9">
            <v>197.10000000000002</v>
          </cell>
          <cell r="D9">
            <v>130.70643659627601</v>
          </cell>
          <cell r="E9">
            <v>200</v>
          </cell>
          <cell r="F9">
            <v>26.462399999999995</v>
          </cell>
          <cell r="G9">
            <v>3.7320000000000002</v>
          </cell>
          <cell r="H9">
            <v>180000</v>
          </cell>
        </row>
        <row r="10">
          <cell r="C10">
            <v>11.4</v>
          </cell>
          <cell r="D10">
            <v>5.3903209097760003</v>
          </cell>
          <cell r="E10">
            <v>14.800000000000011</v>
          </cell>
          <cell r="F10">
            <v>8.9567999999999994</v>
          </cell>
          <cell r="G10">
            <v>0.98519999999999996</v>
          </cell>
          <cell r="H10">
            <v>780</v>
          </cell>
        </row>
        <row r="11">
          <cell r="C11">
            <v>1.62</v>
          </cell>
          <cell r="D11">
            <v>7.0782955295079999</v>
          </cell>
          <cell r="E11">
            <v>1.8000000000000114</v>
          </cell>
          <cell r="F11">
            <v>5.1787200000000002</v>
          </cell>
          <cell r="G11">
            <v>3.4992000000000002E-2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44379</v>
          </cell>
        </row>
        <row r="26">
          <cell r="D26">
            <v>22.25</v>
          </cell>
          <cell r="E26">
            <v>7.5</v>
          </cell>
        </row>
        <row r="27">
          <cell r="E27">
            <v>6.9050000000000002</v>
          </cell>
        </row>
        <row r="28">
          <cell r="D28">
            <v>22.5</v>
          </cell>
          <cell r="E28">
            <v>7.0149999999999997</v>
          </cell>
        </row>
      </sheetData>
      <sheetData sheetId="1">
        <row r="9">
          <cell r="C9">
            <v>172.5</v>
          </cell>
          <cell r="D9">
            <v>74.097889077427993</v>
          </cell>
          <cell r="E9">
            <v>166.66666666666666</v>
          </cell>
          <cell r="F9">
            <v>51.275999999999996</v>
          </cell>
          <cell r="G9">
            <v>5.50176</v>
          </cell>
          <cell r="H9">
            <v>190000</v>
          </cell>
        </row>
        <row r="10">
          <cell r="C10">
            <v>7.89</v>
          </cell>
          <cell r="D10">
            <v>12.424434115794</v>
          </cell>
          <cell r="E10">
            <v>11.600000000000021</v>
          </cell>
          <cell r="F10">
            <v>7.9123199999999994</v>
          </cell>
          <cell r="G10">
            <v>0.22607999999999998</v>
          </cell>
          <cell r="H10">
            <v>1000</v>
          </cell>
        </row>
        <row r="11">
          <cell r="C11">
            <v>1.080000000000001</v>
          </cell>
          <cell r="D11">
            <v>5.2412500866079998</v>
          </cell>
          <cell r="E11">
            <v>2</v>
          </cell>
          <cell r="F11">
            <v>7.7054400000000012</v>
          </cell>
          <cell r="G11">
            <v>5.6975999999999999E-2</v>
          </cell>
          <cell r="H11">
            <v>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733</v>
          </cell>
        </row>
        <row r="13">
          <cell r="G13">
            <v>596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44393</v>
          </cell>
        </row>
        <row r="26">
          <cell r="D26">
            <v>23.6</v>
          </cell>
          <cell r="E26">
            <v>7.33</v>
          </cell>
        </row>
        <row r="27">
          <cell r="E27">
            <v>6.92</v>
          </cell>
        </row>
        <row r="28">
          <cell r="D28">
            <v>23.55</v>
          </cell>
          <cell r="E28">
            <v>6.8599999999999994</v>
          </cell>
        </row>
      </sheetData>
      <sheetData sheetId="1">
        <row r="9">
          <cell r="C9">
            <v>178.2</v>
          </cell>
          <cell r="D9">
            <v>57.456233211600001</v>
          </cell>
          <cell r="E9">
            <v>206.66666666666677</v>
          </cell>
          <cell r="F9">
            <v>29.5944</v>
          </cell>
          <cell r="G9">
            <v>2.8847999999999998</v>
          </cell>
          <cell r="H9">
            <v>210000</v>
          </cell>
        </row>
        <row r="10">
          <cell r="C10">
            <v>9.7050000000000018</v>
          </cell>
          <cell r="D10">
            <v>10.724126546999999</v>
          </cell>
          <cell r="E10">
            <v>14.399999999999979</v>
          </cell>
          <cell r="F10">
            <v>7.6502399999999993</v>
          </cell>
          <cell r="G10">
            <v>0.39268800000000004</v>
          </cell>
          <cell r="H10">
            <v>500</v>
          </cell>
        </row>
        <row r="11">
          <cell r="C11">
            <v>1.4999999999999991</v>
          </cell>
          <cell r="D11">
            <v>4.1100963945700002</v>
          </cell>
          <cell r="E11">
            <v>2</v>
          </cell>
          <cell r="F11">
            <v>4.4932799999999995</v>
          </cell>
          <cell r="G11">
            <v>7.6080000000000009E-2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667</v>
          </cell>
        </row>
        <row r="13">
          <cell r="G13">
            <v>690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44394</v>
          </cell>
        </row>
        <row r="26">
          <cell r="D26">
            <v>23.55</v>
          </cell>
          <cell r="E26">
            <v>7.415</v>
          </cell>
        </row>
        <row r="27">
          <cell r="E27">
            <v>0</v>
          </cell>
        </row>
        <row r="28">
          <cell r="D28">
            <v>23.75</v>
          </cell>
          <cell r="E28">
            <v>7</v>
          </cell>
        </row>
      </sheetData>
      <sheetData sheetId="1">
        <row r="9">
          <cell r="C9">
            <v>206.1</v>
          </cell>
          <cell r="D9">
            <v>103.840489100608</v>
          </cell>
          <cell r="E9">
            <v>233.33333333333334</v>
          </cell>
          <cell r="F9">
            <v>43.204799999999999</v>
          </cell>
          <cell r="G9">
            <v>4.8952799999999996</v>
          </cell>
          <cell r="H9">
            <v>220000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1.1299999999999999</v>
          </cell>
          <cell r="D11">
            <v>5.2914537225879998</v>
          </cell>
          <cell r="E11">
            <v>1.6</v>
          </cell>
          <cell r="F11">
            <v>4.8380000000000001</v>
          </cell>
          <cell r="G11">
            <v>7.0999999999999994E-2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618</v>
          </cell>
        </row>
        <row r="13">
          <cell r="G13">
            <v>608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44395</v>
          </cell>
        </row>
        <row r="26">
          <cell r="D26">
            <v>23.5</v>
          </cell>
          <cell r="E26">
            <v>7.52</v>
          </cell>
        </row>
        <row r="27">
          <cell r="E27">
            <v>0</v>
          </cell>
        </row>
        <row r="28">
          <cell r="D28">
            <v>23.65</v>
          </cell>
          <cell r="E28">
            <v>7.0149999999999997</v>
          </cell>
        </row>
      </sheetData>
      <sheetData sheetId="1">
        <row r="9">
          <cell r="C9">
            <v>171.89999999999998</v>
          </cell>
          <cell r="D9">
            <v>97.678409147956003</v>
          </cell>
          <cell r="E9">
            <v>193.33333333333323</v>
          </cell>
          <cell r="F9">
            <v>37.795200000000001</v>
          </cell>
          <cell r="G9">
            <v>3.62256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1.5700000000000003</v>
          </cell>
          <cell r="D11">
            <v>5.2904525414380004</v>
          </cell>
          <cell r="E11">
            <v>1.6</v>
          </cell>
          <cell r="F11">
            <v>4.585</v>
          </cell>
          <cell r="G11">
            <v>7.0000000000000007E-2</v>
          </cell>
          <cell r="H11">
            <v>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630</v>
          </cell>
        </row>
        <row r="13">
          <cell r="G13">
            <v>568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44396</v>
          </cell>
        </row>
        <row r="26">
          <cell r="D26">
            <v>21.1</v>
          </cell>
          <cell r="E26">
            <v>7.5549999999999997</v>
          </cell>
        </row>
        <row r="27">
          <cell r="E27">
            <v>7.09</v>
          </cell>
        </row>
        <row r="28">
          <cell r="D28">
            <v>21.5</v>
          </cell>
          <cell r="E28">
            <v>7.0149999999999997</v>
          </cell>
        </row>
      </sheetData>
      <sheetData sheetId="1">
        <row r="9">
          <cell r="C9">
            <v>161.40000000000003</v>
          </cell>
          <cell r="D9">
            <v>90.631926626967996</v>
          </cell>
          <cell r="E9">
            <v>173.33333333333343</v>
          </cell>
          <cell r="F9">
            <v>48.038400000000003</v>
          </cell>
          <cell r="G9">
            <v>4.9512</v>
          </cell>
          <cell r="H9">
            <v>140000</v>
          </cell>
        </row>
        <row r="10">
          <cell r="C10">
            <v>10.86</v>
          </cell>
          <cell r="D10">
            <v>16.563076280242001</v>
          </cell>
          <cell r="E10">
            <v>10.399999999999979</v>
          </cell>
          <cell r="F10">
            <v>6.3599999999999985</v>
          </cell>
          <cell r="G10">
            <v>0.28550400000000004</v>
          </cell>
          <cell r="H10">
            <v>620</v>
          </cell>
        </row>
        <row r="11">
          <cell r="C11">
            <v>1.2699999999999996</v>
          </cell>
          <cell r="D11">
            <v>5.1473637314799996</v>
          </cell>
          <cell r="E11">
            <v>1.5999999999999943</v>
          </cell>
          <cell r="F11">
            <v>4.7976000000000001</v>
          </cell>
          <cell r="G11">
            <v>7.0847999999999994E-2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612</v>
          </cell>
        </row>
        <row r="13">
          <cell r="G13">
            <v>592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44397</v>
          </cell>
        </row>
        <row r="26">
          <cell r="D26">
            <v>23.6</v>
          </cell>
          <cell r="E26">
            <v>7.24</v>
          </cell>
        </row>
        <row r="27">
          <cell r="E27">
            <v>7.0600000000000005</v>
          </cell>
        </row>
        <row r="28">
          <cell r="D28">
            <v>23.75</v>
          </cell>
          <cell r="E28">
            <v>6.9950000000000001</v>
          </cell>
        </row>
      </sheetData>
      <sheetData sheetId="1">
        <row r="9">
          <cell r="C9">
            <v>185.70000000000002</v>
          </cell>
          <cell r="D9">
            <v>70.806511439440001</v>
          </cell>
          <cell r="E9">
            <v>206.66666666666677</v>
          </cell>
          <cell r="F9">
            <v>51.134399999999999</v>
          </cell>
          <cell r="G9">
            <v>5.3404800000000003</v>
          </cell>
          <cell r="H9">
            <v>190000</v>
          </cell>
        </row>
        <row r="10">
          <cell r="C10">
            <v>11.100000000000001</v>
          </cell>
          <cell r="D10">
            <v>14.328682758419999</v>
          </cell>
          <cell r="E10">
            <v>12</v>
          </cell>
          <cell r="F10">
            <v>6.1113600000000003</v>
          </cell>
          <cell r="G10">
            <v>0.48172800000000005</v>
          </cell>
          <cell r="H10">
            <v>600</v>
          </cell>
        </row>
        <row r="11">
          <cell r="C11">
            <v>1.75</v>
          </cell>
          <cell r="D11">
            <v>3.9261349396199998</v>
          </cell>
          <cell r="E11">
            <v>1.4000000000000057</v>
          </cell>
          <cell r="F11">
            <v>5.6673600000000004</v>
          </cell>
          <cell r="G11">
            <v>4.2431999999999997E-2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546</v>
          </cell>
        </row>
        <row r="13">
          <cell r="G13">
            <v>383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558</v>
          </cell>
        </row>
        <row r="13">
          <cell r="G13">
            <v>587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44398</v>
          </cell>
        </row>
        <row r="26">
          <cell r="D26">
            <v>25.25</v>
          </cell>
          <cell r="E26">
            <v>7.4049999999999994</v>
          </cell>
        </row>
        <row r="27">
          <cell r="E27">
            <v>7.0549999999999997</v>
          </cell>
        </row>
        <row r="28">
          <cell r="D28">
            <v>25.45</v>
          </cell>
          <cell r="E28">
            <v>7.0049999999999999</v>
          </cell>
        </row>
      </sheetData>
      <sheetData sheetId="1">
        <row r="9">
          <cell r="C9">
            <v>204.3</v>
          </cell>
          <cell r="D9">
            <v>92.147123108103997</v>
          </cell>
          <cell r="E9">
            <v>230.00000000000017</v>
          </cell>
          <cell r="F9">
            <v>48.050400000000003</v>
          </cell>
          <cell r="G9">
            <v>4.2302400000000002</v>
          </cell>
          <cell r="H9">
            <v>210000</v>
          </cell>
        </row>
        <row r="10">
          <cell r="C10">
            <v>11.31</v>
          </cell>
          <cell r="D10">
            <v>16.880200456398001</v>
          </cell>
          <cell r="E10">
            <v>13.199999999999989</v>
          </cell>
          <cell r="F10">
            <v>8.7283200000000001</v>
          </cell>
          <cell r="G10">
            <v>0.49478399999999995</v>
          </cell>
          <cell r="H10">
            <v>850</v>
          </cell>
        </row>
        <row r="11">
          <cell r="C11">
            <v>1.1399999999999997</v>
          </cell>
          <cell r="D11">
            <v>5.4252410231520001</v>
          </cell>
          <cell r="E11">
            <v>2.2000000000000175</v>
          </cell>
          <cell r="F11">
            <v>6.5342400000000014</v>
          </cell>
          <cell r="G11">
            <v>4.7567999999999992E-2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613</v>
          </cell>
        </row>
        <row r="13">
          <cell r="G13">
            <v>545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44399</v>
          </cell>
        </row>
        <row r="26">
          <cell r="D26">
            <v>25.3</v>
          </cell>
          <cell r="E26">
            <v>7.335</v>
          </cell>
        </row>
        <row r="27">
          <cell r="E27">
            <v>7.0549999999999997</v>
          </cell>
        </row>
        <row r="28">
          <cell r="D28">
            <v>25.55</v>
          </cell>
          <cell r="E28">
            <v>7.0149999999999997</v>
          </cell>
        </row>
      </sheetData>
      <sheetData sheetId="1">
        <row r="9">
          <cell r="C9">
            <v>177.6</v>
          </cell>
          <cell r="D9">
            <v>120.5341680728</v>
          </cell>
          <cell r="E9">
            <v>193.33333333333368</v>
          </cell>
          <cell r="F9">
            <v>46.696799999999996</v>
          </cell>
          <cell r="G9">
            <v>4.0617600000000005</v>
          </cell>
          <cell r="H9">
            <v>200000</v>
          </cell>
        </row>
        <row r="10">
          <cell r="C10">
            <v>8.5499999999999989</v>
          </cell>
          <cell r="D10">
            <v>18.238332228560001</v>
          </cell>
          <cell r="E10">
            <v>14.800000000000011</v>
          </cell>
          <cell r="F10">
            <v>8.4782400000000013</v>
          </cell>
          <cell r="G10">
            <v>0.49593599999999993</v>
          </cell>
          <cell r="H10">
            <v>700</v>
          </cell>
        </row>
        <row r="11">
          <cell r="C11">
            <v>1.5</v>
          </cell>
          <cell r="D11">
            <v>5.6859901659599998</v>
          </cell>
          <cell r="E11">
            <v>2.4000000000000052</v>
          </cell>
          <cell r="F11">
            <v>6.3873599999999993</v>
          </cell>
          <cell r="G11">
            <v>8.1264000000000003E-2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551</v>
          </cell>
        </row>
        <row r="13">
          <cell r="G13">
            <v>575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44400</v>
          </cell>
        </row>
        <row r="26">
          <cell r="D26">
            <v>25.4</v>
          </cell>
          <cell r="E26">
            <v>7.3550000000000004</v>
          </cell>
        </row>
        <row r="27">
          <cell r="E27">
            <v>7.0350000000000001</v>
          </cell>
        </row>
        <row r="28">
          <cell r="D28">
            <v>25.6</v>
          </cell>
          <cell r="E28">
            <v>7.01</v>
          </cell>
        </row>
      </sheetData>
      <sheetData sheetId="1">
        <row r="9">
          <cell r="C9">
            <v>164.70000000000002</v>
          </cell>
          <cell r="D9">
            <v>90.019535065208004</v>
          </cell>
          <cell r="E9">
            <v>196.6666666666664</v>
          </cell>
          <cell r="F9">
            <v>54.175199999999997</v>
          </cell>
          <cell r="G9">
            <v>5.2910399999999997</v>
          </cell>
          <cell r="H9">
            <v>170000</v>
          </cell>
        </row>
        <row r="10">
          <cell r="C10">
            <v>9.4499999999999993</v>
          </cell>
          <cell r="D10">
            <v>18.979796429492001</v>
          </cell>
          <cell r="E10">
            <v>12.799999999999955</v>
          </cell>
          <cell r="F10">
            <v>7.3569599999999991</v>
          </cell>
          <cell r="G10">
            <v>0.54225599999999996</v>
          </cell>
          <cell r="H10">
            <v>690</v>
          </cell>
        </row>
        <row r="11">
          <cell r="C11">
            <v>1.8199999999999994</v>
          </cell>
          <cell r="D11">
            <v>5.5548369567140004</v>
          </cell>
          <cell r="E11">
            <v>2.2000000000000175</v>
          </cell>
          <cell r="F11">
            <v>7.0175999999999998</v>
          </cell>
          <cell r="G11">
            <v>6.1151999999999998E-2</v>
          </cell>
          <cell r="H11">
            <v>4.5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636</v>
          </cell>
        </row>
        <row r="13">
          <cell r="G13">
            <v>534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44401</v>
          </cell>
        </row>
        <row r="26">
          <cell r="D26">
            <v>25.45</v>
          </cell>
          <cell r="E26">
            <v>7.415</v>
          </cell>
        </row>
        <row r="27">
          <cell r="E27">
            <v>0</v>
          </cell>
        </row>
        <row r="28">
          <cell r="D28">
            <v>25.65</v>
          </cell>
          <cell r="E28">
            <v>6.9550000000000001</v>
          </cell>
        </row>
      </sheetData>
      <sheetData sheetId="1">
        <row r="9">
          <cell r="C9">
            <v>203.7</v>
          </cell>
          <cell r="D9">
            <v>73.461845027175997</v>
          </cell>
          <cell r="E9">
            <v>186.66666666666649</v>
          </cell>
          <cell r="F9">
            <v>45.063600000000008</v>
          </cell>
          <cell r="G9">
            <v>4.6915199999999997</v>
          </cell>
          <cell r="H9">
            <v>230000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1.3100000000000005</v>
          </cell>
          <cell r="D11">
            <v>7.9455396554600002</v>
          </cell>
          <cell r="E11">
            <v>1.7</v>
          </cell>
          <cell r="F11">
            <v>5.0670000000000002</v>
          </cell>
          <cell r="G11">
            <v>0.08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574</v>
          </cell>
        </row>
        <row r="13">
          <cell r="G13">
            <v>581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44402</v>
          </cell>
        </row>
        <row r="26">
          <cell r="D26">
            <v>25.45</v>
          </cell>
          <cell r="E26">
            <v>7.2949999999999999</v>
          </cell>
        </row>
        <row r="27">
          <cell r="E27">
            <v>0</v>
          </cell>
        </row>
        <row r="28">
          <cell r="D28">
            <v>25.7</v>
          </cell>
          <cell r="E28">
            <v>6.95</v>
          </cell>
        </row>
      </sheetData>
      <sheetData sheetId="1">
        <row r="9">
          <cell r="C9">
            <v>189.89999999999998</v>
          </cell>
          <cell r="D9">
            <v>79.606432892892002</v>
          </cell>
          <cell r="E9">
            <v>163.33333333333351</v>
          </cell>
          <cell r="F9">
            <v>60.648000000000003</v>
          </cell>
          <cell r="G9">
            <v>6.0691200000000007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1.4000000000000004</v>
          </cell>
          <cell r="D11">
            <v>6.4970610337399997</v>
          </cell>
          <cell r="E11">
            <v>1.6</v>
          </cell>
          <cell r="F11">
            <v>4.3840000000000003</v>
          </cell>
          <cell r="G11">
            <v>7.0000000000000007E-2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44380</v>
          </cell>
        </row>
        <row r="26">
          <cell r="D26">
            <v>21.75</v>
          </cell>
          <cell r="E26">
            <v>7.32</v>
          </cell>
        </row>
        <row r="27">
          <cell r="E27">
            <v>0</v>
          </cell>
        </row>
        <row r="28">
          <cell r="D28">
            <v>21.85</v>
          </cell>
          <cell r="E28">
            <v>7.0049999999999999</v>
          </cell>
        </row>
      </sheetData>
      <sheetData sheetId="1">
        <row r="9">
          <cell r="C9">
            <v>157.79999999999998</v>
          </cell>
          <cell r="D9">
            <v>90.154867547951994</v>
          </cell>
          <cell r="E9">
            <v>166.66666666666666</v>
          </cell>
          <cell r="F9">
            <v>53.394000000000005</v>
          </cell>
          <cell r="G9">
            <v>5.6661600000000005</v>
          </cell>
          <cell r="H9">
            <v>150000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1.0500000000000007</v>
          </cell>
          <cell r="D11">
            <v>3.7356676993120002</v>
          </cell>
          <cell r="E11">
            <v>1.6</v>
          </cell>
          <cell r="F11">
            <v>4.3360000000000003</v>
          </cell>
          <cell r="G11">
            <v>0.05</v>
          </cell>
          <cell r="H11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645</v>
          </cell>
        </row>
        <row r="13">
          <cell r="G13">
            <v>615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44403</v>
          </cell>
        </row>
        <row r="26">
          <cell r="D26">
            <v>25.7</v>
          </cell>
          <cell r="E26">
            <v>7.2200000000000006</v>
          </cell>
        </row>
        <row r="27">
          <cell r="E27">
            <v>7.04</v>
          </cell>
        </row>
        <row r="28">
          <cell r="D28">
            <v>25.85</v>
          </cell>
          <cell r="E28">
            <v>6.9700000000000006</v>
          </cell>
        </row>
      </sheetData>
      <sheetData sheetId="1">
        <row r="9">
          <cell r="C9">
            <v>198.00000000000006</v>
          </cell>
          <cell r="D9">
            <v>95.802105541575997</v>
          </cell>
          <cell r="E9">
            <v>213.33333333333306</v>
          </cell>
          <cell r="F9">
            <v>42.770400000000009</v>
          </cell>
          <cell r="G9">
            <v>3.0528</v>
          </cell>
          <cell r="H9">
            <v>220000</v>
          </cell>
        </row>
        <row r="10">
          <cell r="C10">
            <v>10.845000000000001</v>
          </cell>
          <cell r="D10">
            <v>22.416941711741998</v>
          </cell>
          <cell r="E10">
            <v>18</v>
          </cell>
          <cell r="F10">
            <v>10.781279999999999</v>
          </cell>
          <cell r="G10">
            <v>0.51052799999999998</v>
          </cell>
          <cell r="H10">
            <v>770</v>
          </cell>
        </row>
        <row r="11">
          <cell r="C11">
            <v>1.0000000000000009</v>
          </cell>
          <cell r="D11">
            <v>7.2651137425880004</v>
          </cell>
          <cell r="E11">
            <v>2.6000000000000227</v>
          </cell>
          <cell r="F11">
            <v>7.6631999999999989</v>
          </cell>
          <cell r="G11">
            <v>6.8880000000000011E-2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559</v>
          </cell>
        </row>
        <row r="13">
          <cell r="G13">
            <v>633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44404</v>
          </cell>
        </row>
        <row r="26">
          <cell r="D26">
            <v>25.6</v>
          </cell>
          <cell r="E26">
            <v>7.3</v>
          </cell>
        </row>
        <row r="27">
          <cell r="E27">
            <v>7.0250000000000004</v>
          </cell>
        </row>
        <row r="28">
          <cell r="D28">
            <v>25.75</v>
          </cell>
          <cell r="E28">
            <v>6.9250000000000007</v>
          </cell>
        </row>
      </sheetData>
      <sheetData sheetId="1">
        <row r="9">
          <cell r="C9">
            <v>189.00000000000003</v>
          </cell>
          <cell r="D9">
            <v>81.819474575699999</v>
          </cell>
          <cell r="E9">
            <v>193.33333333333368</v>
          </cell>
          <cell r="F9">
            <v>40.197600000000001</v>
          </cell>
          <cell r="G9">
            <v>3.8083200000000006</v>
          </cell>
          <cell r="H9">
            <v>180000</v>
          </cell>
        </row>
        <row r="10">
          <cell r="C10">
            <v>11.100000000000001</v>
          </cell>
          <cell r="D10">
            <v>22.304623036528</v>
          </cell>
          <cell r="E10">
            <v>19.199999999999989</v>
          </cell>
          <cell r="F10">
            <v>4.4961599999999997</v>
          </cell>
          <cell r="G10">
            <v>0.67521600000000004</v>
          </cell>
          <cell r="H10">
            <v>570</v>
          </cell>
        </row>
        <row r="11">
          <cell r="C11">
            <v>0.79000000000000092</v>
          </cell>
          <cell r="D11">
            <v>5.4875412655959996</v>
          </cell>
          <cell r="E11">
            <v>2.4000000000000052</v>
          </cell>
          <cell r="F11">
            <v>5.8531199999999997</v>
          </cell>
          <cell r="G11">
            <v>3.9119999999999995E-2</v>
          </cell>
          <cell r="H11">
            <v>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626</v>
          </cell>
        </row>
        <row r="13">
          <cell r="G13">
            <v>624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44405</v>
          </cell>
        </row>
        <row r="26">
          <cell r="D26">
            <v>25.55</v>
          </cell>
          <cell r="E26">
            <v>7.4450000000000003</v>
          </cell>
        </row>
        <row r="27">
          <cell r="E27">
            <v>7.0549999999999997</v>
          </cell>
        </row>
        <row r="28">
          <cell r="D28">
            <v>25.65</v>
          </cell>
          <cell r="E28">
            <v>6.9550000000000001</v>
          </cell>
        </row>
      </sheetData>
      <sheetData sheetId="1">
        <row r="9">
          <cell r="C9">
            <v>190.125</v>
          </cell>
          <cell r="D9">
            <v>96.252856026412005</v>
          </cell>
          <cell r="E9">
            <v>193.33333333333368</v>
          </cell>
          <cell r="F9">
            <v>57.18719999999999</v>
          </cell>
          <cell r="G9">
            <v>5.6855999999999991</v>
          </cell>
          <cell r="H9">
            <v>200000</v>
          </cell>
        </row>
        <row r="10">
          <cell r="C10">
            <v>11.459999999999999</v>
          </cell>
          <cell r="D10">
            <v>24.615739638661999</v>
          </cell>
          <cell r="E10">
            <v>18.800000000000011</v>
          </cell>
          <cell r="F10">
            <v>7.2753600000000009</v>
          </cell>
          <cell r="G10">
            <v>0.5862719999999999</v>
          </cell>
          <cell r="H10">
            <v>790</v>
          </cell>
        </row>
        <row r="11">
          <cell r="C11">
            <v>1.4900000000000002</v>
          </cell>
          <cell r="D11">
            <v>6.4437417503940004</v>
          </cell>
          <cell r="E11">
            <v>2.5999999999999948</v>
          </cell>
          <cell r="F11">
            <v>6.8241600000000009</v>
          </cell>
          <cell r="G11">
            <v>6.1391999999999995E-2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524</v>
          </cell>
        </row>
        <row r="13">
          <cell r="G13">
            <v>542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44406</v>
          </cell>
        </row>
        <row r="26">
          <cell r="D26">
            <v>25.7</v>
          </cell>
          <cell r="E26">
            <v>7.3550000000000004</v>
          </cell>
        </row>
        <row r="27">
          <cell r="E27">
            <v>6.9450000000000003</v>
          </cell>
        </row>
        <row r="28">
          <cell r="D28">
            <v>25.85</v>
          </cell>
          <cell r="E28">
            <v>6.8949999999999996</v>
          </cell>
        </row>
      </sheetData>
      <sheetData sheetId="1">
        <row r="9">
          <cell r="C9">
            <v>204.75</v>
          </cell>
          <cell r="D9">
            <v>85.221305734908</v>
          </cell>
          <cell r="E9">
            <v>196.66666666666686</v>
          </cell>
          <cell r="F9">
            <v>55.797599999999996</v>
          </cell>
          <cell r="G9">
            <v>4.5609599999999997</v>
          </cell>
          <cell r="H9">
            <v>220000</v>
          </cell>
        </row>
        <row r="10">
          <cell r="C10">
            <v>11.899999999999999</v>
          </cell>
          <cell r="D10">
            <v>12.742988542634</v>
          </cell>
          <cell r="E10">
            <v>17.599999999999966</v>
          </cell>
          <cell r="F10">
            <v>9.39696</v>
          </cell>
          <cell r="G10">
            <v>0.63230399999999998</v>
          </cell>
          <cell r="H10">
            <v>840</v>
          </cell>
        </row>
        <row r="11">
          <cell r="C11">
            <v>1.1799999999999997</v>
          </cell>
          <cell r="D11">
            <v>5.2420834462719998</v>
          </cell>
          <cell r="E11">
            <v>2</v>
          </cell>
          <cell r="F11">
            <v>6.1032000000000002</v>
          </cell>
          <cell r="G11">
            <v>5.7839999999999989E-2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652</v>
          </cell>
        </row>
        <row r="13">
          <cell r="G13">
            <v>531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44407</v>
          </cell>
        </row>
        <row r="26">
          <cell r="D26">
            <v>26.05</v>
          </cell>
          <cell r="E26">
            <v>7.45</v>
          </cell>
        </row>
        <row r="27">
          <cell r="E27">
            <v>7.02</v>
          </cell>
        </row>
        <row r="28">
          <cell r="D28">
            <v>25.95</v>
          </cell>
          <cell r="E28">
            <v>6.8949999999999996</v>
          </cell>
        </row>
      </sheetData>
      <sheetData sheetId="1">
        <row r="9">
          <cell r="C9">
            <v>223.12499999999997</v>
          </cell>
          <cell r="D9">
            <v>51.774302594200002</v>
          </cell>
          <cell r="E9">
            <v>203.3333333333336</v>
          </cell>
          <cell r="F9">
            <v>51.419999999999995</v>
          </cell>
          <cell r="G9">
            <v>4.93872</v>
          </cell>
          <cell r="H9">
            <v>210000</v>
          </cell>
        </row>
        <row r="10">
          <cell r="C10">
            <v>10.620000000000001</v>
          </cell>
          <cell r="D10">
            <v>7.2555340487419997</v>
          </cell>
          <cell r="E10">
            <v>12.800000000000011</v>
          </cell>
          <cell r="F10">
            <v>6.6878399999999987</v>
          </cell>
          <cell r="G10">
            <v>0.56063999999999992</v>
          </cell>
          <cell r="H10">
            <v>590</v>
          </cell>
        </row>
        <row r="11">
          <cell r="C11">
            <v>1.6000000000000005</v>
          </cell>
          <cell r="D11">
            <v>5.6829304157019997</v>
          </cell>
          <cell r="E11">
            <v>2.8000000000000114</v>
          </cell>
          <cell r="F11">
            <v>6.2649600000000003</v>
          </cell>
          <cell r="G11">
            <v>5.8608E-2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607</v>
          </cell>
        </row>
        <row r="13">
          <cell r="G13">
            <v>716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603</v>
          </cell>
        </row>
        <row r="13">
          <cell r="G13">
            <v>631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44408</v>
          </cell>
        </row>
        <row r="26">
          <cell r="D26">
            <v>25.95</v>
          </cell>
          <cell r="E26">
            <v>7.2650000000000006</v>
          </cell>
        </row>
        <row r="27">
          <cell r="E27">
            <v>0</v>
          </cell>
        </row>
        <row r="28">
          <cell r="D28">
            <v>25.75</v>
          </cell>
          <cell r="E28">
            <v>6.9050000000000002</v>
          </cell>
        </row>
      </sheetData>
      <sheetData sheetId="1">
        <row r="9">
          <cell r="C9">
            <v>178.125</v>
          </cell>
          <cell r="D9">
            <v>79.606432892892002</v>
          </cell>
          <cell r="E9">
            <v>190.00000000000009</v>
          </cell>
          <cell r="F9">
            <v>56.061600000000006</v>
          </cell>
          <cell r="G9">
            <v>5.0505599999999999</v>
          </cell>
          <cell r="H9">
            <v>170000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1.1800000000000006</v>
          </cell>
          <cell r="D11">
            <v>6.4970610337399997</v>
          </cell>
          <cell r="E11">
            <v>1.7</v>
          </cell>
          <cell r="F11">
            <v>4.5970000000000004</v>
          </cell>
          <cell r="G11">
            <v>6.2E-2</v>
          </cell>
          <cell r="H11">
            <v>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709</v>
          </cell>
        </row>
        <row r="13">
          <cell r="G13">
            <v>716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44381</v>
          </cell>
        </row>
        <row r="26">
          <cell r="D26">
            <v>21.55</v>
          </cell>
          <cell r="E26">
            <v>7.46</v>
          </cell>
        </row>
        <row r="27">
          <cell r="E27">
            <v>0</v>
          </cell>
        </row>
        <row r="28">
          <cell r="D28">
            <v>21.75</v>
          </cell>
          <cell r="E28">
            <v>6.98</v>
          </cell>
        </row>
      </sheetData>
      <sheetData sheetId="1">
        <row r="9">
          <cell r="C9">
            <v>177.6</v>
          </cell>
          <cell r="D9">
            <v>82.020145799692003</v>
          </cell>
          <cell r="E9">
            <v>206.66666666666677</v>
          </cell>
          <cell r="F9">
            <v>44.822400000000002</v>
          </cell>
          <cell r="G9">
            <v>4.41432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1.8699999999999992</v>
          </cell>
          <cell r="D11">
            <v>3.5333716369000001</v>
          </cell>
          <cell r="E11">
            <v>1.6</v>
          </cell>
          <cell r="F11">
            <v>4.3810000000000002</v>
          </cell>
          <cell r="G11">
            <v>0.06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808</v>
          </cell>
        </row>
        <row r="13">
          <cell r="G13">
            <v>712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44382</v>
          </cell>
        </row>
        <row r="26">
          <cell r="D26">
            <v>23.4</v>
          </cell>
          <cell r="E26">
            <v>7.5549999999999997</v>
          </cell>
        </row>
        <row r="27">
          <cell r="E27">
            <v>6.8849999999999998</v>
          </cell>
        </row>
        <row r="28">
          <cell r="D28">
            <v>23.15</v>
          </cell>
          <cell r="E28">
            <v>7.1</v>
          </cell>
        </row>
      </sheetData>
      <sheetData sheetId="1">
        <row r="9">
          <cell r="C9">
            <v>153.00000000000003</v>
          </cell>
          <cell r="D9">
            <v>86.166682876120007</v>
          </cell>
          <cell r="E9">
            <v>153.33333333333314</v>
          </cell>
          <cell r="F9">
            <v>36.223200000000006</v>
          </cell>
          <cell r="G9">
            <v>3.5884799999999997</v>
          </cell>
          <cell r="H9">
            <v>190000</v>
          </cell>
        </row>
        <row r="10">
          <cell r="C10">
            <v>7.77</v>
          </cell>
          <cell r="D10">
            <v>4.7620858303300002</v>
          </cell>
          <cell r="E10">
            <v>6.3999999999999773</v>
          </cell>
          <cell r="F10">
            <v>4.51776</v>
          </cell>
          <cell r="G10">
            <v>0.13622399999999998</v>
          </cell>
          <cell r="H10">
            <v>810</v>
          </cell>
        </row>
        <row r="11">
          <cell r="C11">
            <v>1.1600000000000001</v>
          </cell>
          <cell r="D11">
            <v>3.4784857440039998</v>
          </cell>
          <cell r="E11">
            <v>2.8000000000000114</v>
          </cell>
          <cell r="F11">
            <v>3.6955199999999997</v>
          </cell>
          <cell r="G11">
            <v>3.0959999999999998E-2</v>
          </cell>
          <cell r="H11">
            <v>4.5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view="pageBreakPreview" zoomScaleSheetLayoutView="100" workbookViewId="0">
      <pane xSplit="1" ySplit="3" topLeftCell="B16" activePane="bottomRight" state="frozen"/>
      <selection activeCell="G34" sqref="G34"/>
      <selection pane="topRight" activeCell="G34" sqref="G34"/>
      <selection pane="bottomLeft" activeCell="G34" sqref="G34"/>
      <selection pane="bottomRight" activeCell="J35" sqref="J35"/>
    </sheetView>
  </sheetViews>
  <sheetFormatPr defaultRowHeight="16.5"/>
  <cols>
    <col min="1" max="1" width="9.875" bestFit="1" customWidth="1"/>
    <col min="2" max="2" width="9" style="114"/>
    <col min="3" max="3" width="9" style="115"/>
    <col min="4" max="5" width="9" style="114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16" t="s">
        <v>24</v>
      </c>
      <c r="B1" s="116"/>
      <c r="C1" s="116"/>
      <c r="D1" s="116"/>
      <c r="E1" s="116"/>
      <c r="F1" s="116"/>
      <c r="G1" s="116"/>
      <c r="H1" s="116"/>
      <c r="I1" s="116"/>
    </row>
    <row r="2" spans="1:13" ht="20.100000000000001" customHeight="1">
      <c r="A2" s="117" t="s">
        <v>14</v>
      </c>
      <c r="B2" s="119" t="s">
        <v>12</v>
      </c>
      <c r="C2" s="120"/>
      <c r="D2" s="120"/>
      <c r="E2" s="120"/>
      <c r="F2" s="120"/>
      <c r="G2" s="120"/>
      <c r="H2" s="120"/>
      <c r="I2" s="121"/>
    </row>
    <row r="3" spans="1:13" ht="24.95" customHeight="1" thickBot="1">
      <c r="A3" s="118"/>
      <c r="B3" s="100" t="s">
        <v>3</v>
      </c>
      <c r="C3" s="101" t="s">
        <v>4</v>
      </c>
      <c r="D3" s="100" t="s">
        <v>23</v>
      </c>
      <c r="E3" s="10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[1]일반사항!$B$4</f>
        <v>44378</v>
      </c>
      <c r="B4" s="102">
        <f>[1]일반사항!$E$26</f>
        <v>7.5350000000000001</v>
      </c>
      <c r="C4" s="103">
        <f>[1]실험기록부!$C$9</f>
        <v>153.60000000000002</v>
      </c>
      <c r="D4" s="102">
        <f>[1]실험기록부!$D$9</f>
        <v>78.367700278932006</v>
      </c>
      <c r="E4" s="104">
        <f>[1]실험기록부!$E$9</f>
        <v>146.66666666666686</v>
      </c>
      <c r="F4" s="23">
        <f>[1]실험기록부!$F$9</f>
        <v>39.693600000000004</v>
      </c>
      <c r="G4" s="23">
        <f>[1]실험기록부!$G$9</f>
        <v>4.50528</v>
      </c>
      <c r="H4" s="24">
        <f>[1]실험기록부!$H$9</f>
        <v>200000</v>
      </c>
      <c r="I4" s="26">
        <f>[2]커버3!$G$12</f>
        <v>582</v>
      </c>
      <c r="J4" s="96">
        <f>[1]일반사항!$D$26</f>
        <v>23.15</v>
      </c>
    </row>
    <row r="5" spans="1:13" ht="20.100000000000001" customHeight="1">
      <c r="A5" s="25">
        <f>[3]일반사항!$B$4</f>
        <v>44379</v>
      </c>
      <c r="B5" s="105">
        <f>[3]일반사항!$E$26</f>
        <v>7.5</v>
      </c>
      <c r="C5" s="106">
        <f>[3]실험기록부!$C$9</f>
        <v>172.5</v>
      </c>
      <c r="D5" s="105">
        <f>[3]실험기록부!$D$9</f>
        <v>74.097889077427993</v>
      </c>
      <c r="E5" s="107">
        <f>[3]실험기록부!$E$9</f>
        <v>166.66666666666666</v>
      </c>
      <c r="F5" s="19">
        <f>[3]실험기록부!$F$9</f>
        <v>51.275999999999996</v>
      </c>
      <c r="G5" s="19">
        <f>[3]실험기록부!$G$9</f>
        <v>5.50176</v>
      </c>
      <c r="H5" s="20">
        <f>[3]실험기록부!$H$9</f>
        <v>190000</v>
      </c>
      <c r="I5" s="27">
        <f>[4]커버3!$G$12</f>
        <v>546</v>
      </c>
      <c r="J5" s="96">
        <f>[3]일반사항!$D$26</f>
        <v>22.25</v>
      </c>
    </row>
    <row r="6" spans="1:13" ht="20.100000000000001" customHeight="1">
      <c r="A6" s="25">
        <f>[5]일반사항!$B$4</f>
        <v>44380</v>
      </c>
      <c r="B6" s="105">
        <f>[5]일반사항!$E$26</f>
        <v>7.32</v>
      </c>
      <c r="C6" s="106">
        <f>[5]실험기록부!$C$9</f>
        <v>157.79999999999998</v>
      </c>
      <c r="D6" s="105">
        <f>[5]실험기록부!$D$9</f>
        <v>90.154867547951994</v>
      </c>
      <c r="E6" s="107">
        <f>[5]실험기록부!$E$9</f>
        <v>166.66666666666666</v>
      </c>
      <c r="F6" s="19">
        <f>[5]실험기록부!$F$9</f>
        <v>53.394000000000005</v>
      </c>
      <c r="G6" s="19">
        <f>[5]실험기록부!$G$9</f>
        <v>5.6661600000000005</v>
      </c>
      <c r="H6" s="20">
        <f>[5]실험기록부!$H$9</f>
        <v>150000</v>
      </c>
      <c r="I6" s="27">
        <f>[6]커버3!$G$12</f>
        <v>607</v>
      </c>
      <c r="J6" s="96">
        <f>[5]일반사항!$D$26</f>
        <v>21.75</v>
      </c>
    </row>
    <row r="7" spans="1:13" ht="20.100000000000001" customHeight="1">
      <c r="A7" s="25">
        <f>[7]일반사항!$B$4</f>
        <v>44381</v>
      </c>
      <c r="B7" s="105">
        <f>[7]일반사항!$E$26</f>
        <v>7.46</v>
      </c>
      <c r="C7" s="106">
        <f>[7]실험기록부!$C$9</f>
        <v>177.6</v>
      </c>
      <c r="D7" s="105">
        <f>[7]실험기록부!$D$9</f>
        <v>82.020145799692003</v>
      </c>
      <c r="E7" s="107">
        <f>[7]실험기록부!$E$9</f>
        <v>206.66666666666677</v>
      </c>
      <c r="F7" s="19">
        <f>[7]실험기록부!$F$9</f>
        <v>44.822400000000002</v>
      </c>
      <c r="G7" s="19">
        <f>[7]실험기록부!$G$9</f>
        <v>4.41432</v>
      </c>
      <c r="H7" s="20">
        <f>[7]실험기록부!$H$9</f>
        <v>200000</v>
      </c>
      <c r="I7" s="27">
        <f>[8]커버3!$G$12</f>
        <v>808</v>
      </c>
      <c r="J7" s="96">
        <f>[7]일반사항!$D$26</f>
        <v>21.55</v>
      </c>
    </row>
    <row r="8" spans="1:13" ht="20.100000000000001" customHeight="1">
      <c r="A8" s="25">
        <f>[9]일반사항!$B$4</f>
        <v>44382</v>
      </c>
      <c r="B8" s="105">
        <f>[9]일반사항!$E$26</f>
        <v>7.5549999999999997</v>
      </c>
      <c r="C8" s="106">
        <f>[9]실험기록부!$C$9</f>
        <v>153.00000000000003</v>
      </c>
      <c r="D8" s="105">
        <f>[9]실험기록부!$D$9</f>
        <v>86.166682876120007</v>
      </c>
      <c r="E8" s="107">
        <f>[9]실험기록부!$E$9</f>
        <v>153.33333333333314</v>
      </c>
      <c r="F8" s="19">
        <f>[9]실험기록부!$F$9</f>
        <v>36.223200000000006</v>
      </c>
      <c r="G8" s="19">
        <f>[9]실험기록부!$G$9</f>
        <v>3.5884799999999997</v>
      </c>
      <c r="H8" s="20">
        <f>[9]실험기록부!$H$9</f>
        <v>190000</v>
      </c>
      <c r="I8" s="27">
        <f>[10]커버3!$G$12</f>
        <v>684</v>
      </c>
      <c r="J8" s="96">
        <f>[9]일반사항!$D$26</f>
        <v>23.4</v>
      </c>
    </row>
    <row r="9" spans="1:13" ht="20.100000000000001" customHeight="1">
      <c r="A9" s="25">
        <f>[11]일반사항!$B$4</f>
        <v>44383</v>
      </c>
      <c r="B9" s="105">
        <f>[11]일반사항!$E$26</f>
        <v>7.5649999999999995</v>
      </c>
      <c r="C9" s="106">
        <f>[11]실험기록부!$C$9</f>
        <v>152.69999999999999</v>
      </c>
      <c r="D9" s="105">
        <f>[11]실험기록부!$D$9</f>
        <v>52.266310042496002</v>
      </c>
      <c r="E9" s="107">
        <f>[11]실험기록부!$E$9</f>
        <v>159.99999999999991</v>
      </c>
      <c r="F9" s="19">
        <f>[11]실험기록부!$F$9</f>
        <v>35.591999999999999</v>
      </c>
      <c r="G9" s="19">
        <f>[11]실험기록부!$G$9</f>
        <v>2.3587199999999999</v>
      </c>
      <c r="H9" s="20">
        <f>[11]실험기록부!$H$9</f>
        <v>210000</v>
      </c>
      <c r="I9" s="27">
        <f>[12]커버3!$G$12</f>
        <v>1011</v>
      </c>
      <c r="J9" s="96">
        <f>[11]일반사항!$D$26</f>
        <v>23.55</v>
      </c>
      <c r="M9" t="s">
        <v>15</v>
      </c>
    </row>
    <row r="10" spans="1:13" ht="20.100000000000001" customHeight="1">
      <c r="A10" s="25">
        <f>[13]일반사항!$B$4</f>
        <v>44384</v>
      </c>
      <c r="B10" s="105">
        <f>[13]일반사항!$E$26</f>
        <v>7.5549999999999997</v>
      </c>
      <c r="C10" s="106">
        <f>[13]실험기록부!$C$9</f>
        <v>149.99999999999997</v>
      </c>
      <c r="D10" s="105">
        <f>[13]실험기록부!$D$9</f>
        <v>65.809258571135999</v>
      </c>
      <c r="E10" s="107">
        <f>[13]실험기록부!$E$9</f>
        <v>163.33333333333351</v>
      </c>
      <c r="F10" s="19">
        <f>[13]실험기록부!$F$9</f>
        <v>55.972799999999999</v>
      </c>
      <c r="G10" s="19">
        <f>[13]실험기록부!$G$9</f>
        <v>2.9918399999999998</v>
      </c>
      <c r="H10" s="20">
        <f>[13]실험기록부!$H$9</f>
        <v>200000</v>
      </c>
      <c r="I10" s="27">
        <f>[14]커버3!$G$12</f>
        <v>1004</v>
      </c>
      <c r="J10" s="96">
        <f>[13]일반사항!$D$26</f>
        <v>23.65</v>
      </c>
      <c r="M10" t="s">
        <v>16</v>
      </c>
    </row>
    <row r="11" spans="1:13" ht="20.100000000000001" customHeight="1">
      <c r="A11" s="25">
        <f>[15]일반사항!$B$4</f>
        <v>44385</v>
      </c>
      <c r="B11" s="105">
        <f>[15]일반사항!$E$26</f>
        <v>7.4350000000000005</v>
      </c>
      <c r="C11" s="106">
        <f>[15]실험기록부!$C$9</f>
        <v>190.20000000000002</v>
      </c>
      <c r="D11" s="105">
        <f>[15]실험기록부!$D$9</f>
        <v>22.737324956091999</v>
      </c>
      <c r="E11" s="107">
        <f>[15]실험기록부!$E$9</f>
        <v>203.33333333333314</v>
      </c>
      <c r="F11" s="19">
        <f>[15]실험기록부!$F$9</f>
        <v>40.7136</v>
      </c>
      <c r="G11" s="19">
        <f>[15]실험기록부!$G$9</f>
        <v>2.1715200000000001</v>
      </c>
      <c r="H11" s="20">
        <f>[15]실험기록부!$H$9</f>
        <v>220000</v>
      </c>
      <c r="I11" s="27">
        <f>[16]커버3!$G$12</f>
        <v>1001</v>
      </c>
      <c r="J11" s="96">
        <f>[15]일반사항!$D$26</f>
        <v>23.7</v>
      </c>
      <c r="M11" t="s">
        <v>17</v>
      </c>
    </row>
    <row r="12" spans="1:13" ht="20.100000000000001" customHeight="1">
      <c r="A12" s="25">
        <f>[17]일반사항!$B$4</f>
        <v>44386</v>
      </c>
      <c r="B12" s="105">
        <f>[17]일반사항!$E$26</f>
        <v>7.5750000000000002</v>
      </c>
      <c r="C12" s="106">
        <f>[17]실험기록부!$C$9</f>
        <v>167.10000000000002</v>
      </c>
      <c r="D12" s="105">
        <f>[17]실험기록부!$D$9</f>
        <v>47.597020745724002</v>
      </c>
      <c r="E12" s="107">
        <f>[17]실험기록부!$E$9</f>
        <v>163.33333333333351</v>
      </c>
      <c r="F12" s="19">
        <f>[17]실험기록부!$F$9</f>
        <v>32.268000000000001</v>
      </c>
      <c r="G12" s="19">
        <f>[17]실험기록부!$G$9</f>
        <v>2.7715199999999998</v>
      </c>
      <c r="H12" s="20">
        <f>[17]실험기록부!$H$9</f>
        <v>190000</v>
      </c>
      <c r="I12" s="27">
        <f>[18]커버3!$G$12</f>
        <v>1046</v>
      </c>
      <c r="J12" s="96">
        <f>[17]일반사항!$D$26</f>
        <v>23.6</v>
      </c>
      <c r="M12" t="s">
        <v>18</v>
      </c>
    </row>
    <row r="13" spans="1:13" ht="20.100000000000001" customHeight="1">
      <c r="A13" s="25">
        <f>[19]일반사항!$B$4</f>
        <v>44387</v>
      </c>
      <c r="B13" s="105">
        <f>[19]일반사항!$E$26</f>
        <v>7.42</v>
      </c>
      <c r="C13" s="106">
        <f>[19]실험기록부!$C$9</f>
        <v>150.29999999999998</v>
      </c>
      <c r="D13" s="105">
        <f>[19]실험기록부!$D$9</f>
        <v>47.372792501040003</v>
      </c>
      <c r="E13" s="107">
        <f>[19]실험기록부!$E$9</f>
        <v>150</v>
      </c>
      <c r="F13" s="19">
        <f>[19]실험기록부!$F$9</f>
        <v>41.951999999999998</v>
      </c>
      <c r="G13" s="19">
        <f>[19]실험기록부!$G$9</f>
        <v>4.1428799999999999</v>
      </c>
      <c r="H13" s="20">
        <f>[19]실험기록부!$H$9</f>
        <v>220000</v>
      </c>
      <c r="I13" s="27">
        <f>[20]커버3!$G$12</f>
        <v>969</v>
      </c>
      <c r="J13" s="96">
        <f>[19]일반사항!$D$26</f>
        <v>23.55</v>
      </c>
      <c r="M13" t="s">
        <v>19</v>
      </c>
    </row>
    <row r="14" spans="1:13" ht="20.100000000000001" customHeight="1">
      <c r="A14" s="25">
        <f>[21]일반사항!$B$4</f>
        <v>44388</v>
      </c>
      <c r="B14" s="105">
        <f>[21]일반사항!$E$26</f>
        <v>7.3900000000000006</v>
      </c>
      <c r="C14" s="106">
        <f>[21]실험기록부!$C$9</f>
        <v>156.00000000000003</v>
      </c>
      <c r="D14" s="105">
        <f>[21]실험기록부!$D$9</f>
        <v>50.924349256791999</v>
      </c>
      <c r="E14" s="107">
        <f>[21]실험기록부!$E$9</f>
        <v>170.00000000000028</v>
      </c>
      <c r="F14" s="19">
        <f>[21]실험기록부!$F$9</f>
        <v>47.201999999999998</v>
      </c>
      <c r="G14" s="19">
        <f>[21]실험기록부!$G$9</f>
        <v>4.6739999999999995</v>
      </c>
      <c r="H14" s="20">
        <f>[21]실험기록부!$H$9</f>
        <v>220000</v>
      </c>
      <c r="I14" s="27">
        <f>[22]커버3!$G$12</f>
        <v>956</v>
      </c>
      <c r="J14" s="96">
        <f>[21]일반사항!$D$26</f>
        <v>23.65</v>
      </c>
      <c r="M14" t="s">
        <v>20</v>
      </c>
    </row>
    <row r="15" spans="1:13" ht="20.100000000000001" customHeight="1">
      <c r="A15" s="25">
        <f>[23]일반사항!$B$4</f>
        <v>44389</v>
      </c>
      <c r="B15" s="105">
        <f>[23]일반사항!$E$26</f>
        <v>7.4950000000000001</v>
      </c>
      <c r="C15" s="106">
        <f>[23]실험기록부!$C$9</f>
        <v>164.1</v>
      </c>
      <c r="D15" s="105">
        <f>[23]실험기록부!$D$9</f>
        <v>54.610007092464002</v>
      </c>
      <c r="E15" s="107">
        <f>[23]실험기록부!$E$9</f>
        <v>186.66666666666649</v>
      </c>
      <c r="F15" s="19">
        <f>[23]실험기록부!$F$9</f>
        <v>26.380800000000001</v>
      </c>
      <c r="G15" s="19">
        <f>[23]실험기록부!$G$9</f>
        <v>2.5951200000000001</v>
      </c>
      <c r="H15" s="20">
        <f>[23]실험기록부!$H$9</f>
        <v>210000</v>
      </c>
      <c r="I15" s="27">
        <f>[24]커버3!$G$12</f>
        <v>760</v>
      </c>
      <c r="J15" s="96">
        <f>[23]일반사항!$D$26</f>
        <v>23.7</v>
      </c>
    </row>
    <row r="16" spans="1:13" ht="20.100000000000001" customHeight="1">
      <c r="A16" s="25">
        <f>[25]일반사항!$B$4</f>
        <v>44390</v>
      </c>
      <c r="B16" s="105">
        <f>[25]일반사항!$E$26</f>
        <v>7.32</v>
      </c>
      <c r="C16" s="106">
        <f>[25]실험기록부!$C$9</f>
        <v>197.7</v>
      </c>
      <c r="D16" s="105">
        <f>[25]실험기록부!$D$9</f>
        <v>31.379402074123998</v>
      </c>
      <c r="E16" s="107">
        <f>[25]실험기록부!$E$9</f>
        <v>223.33333333333343</v>
      </c>
      <c r="F16" s="19">
        <f>[25]실험기록부!$F$9</f>
        <v>49.197600000000001</v>
      </c>
      <c r="G16" s="19">
        <f>[25]실험기록부!$G$9</f>
        <v>4.7779199999999999</v>
      </c>
      <c r="H16" s="20">
        <f>[25]실험기록부!$H$9</f>
        <v>210000</v>
      </c>
      <c r="I16" s="27">
        <f>[26]커버3!$G$12</f>
        <v>804</v>
      </c>
      <c r="J16" s="96">
        <f>[25]일반사항!$D$26</f>
        <v>23.55</v>
      </c>
    </row>
    <row r="17" spans="1:10" ht="20.100000000000001" customHeight="1">
      <c r="A17" s="25">
        <f>[27]일반사항!$B$4</f>
        <v>44391</v>
      </c>
      <c r="B17" s="105">
        <f>[27]일반사항!$E$26</f>
        <v>7.2899999999999991</v>
      </c>
      <c r="C17" s="106">
        <f>[27]실험기록부!$C$9</f>
        <v>184.20000000000002</v>
      </c>
      <c r="D17" s="105">
        <f>[27]실험기록부!$D$9</f>
        <v>118.398563925768</v>
      </c>
      <c r="E17" s="107">
        <f>[27]실험기록부!$E$9</f>
        <v>153.3333333333336</v>
      </c>
      <c r="F17" s="19">
        <f>[27]실험기록부!$F$9</f>
        <v>41.786399999999993</v>
      </c>
      <c r="G17" s="19">
        <f>[27]실험기록부!$G$9</f>
        <v>3.3292800000000007</v>
      </c>
      <c r="H17" s="20">
        <f>[27]실험기록부!$H$9</f>
        <v>170000</v>
      </c>
      <c r="I17" s="27">
        <f>[28]커버3!$G$12</f>
        <v>749</v>
      </c>
      <c r="J17" s="96">
        <f>[27]일반사항!$D$26</f>
        <v>23.45</v>
      </c>
    </row>
    <row r="18" spans="1:10" ht="20.100000000000001" customHeight="1">
      <c r="A18" s="25">
        <f>[29]일반사항!$B$4</f>
        <v>44392</v>
      </c>
      <c r="B18" s="105">
        <f>[29]일반사항!$E$26</f>
        <v>7.3949999999999996</v>
      </c>
      <c r="C18" s="106">
        <f>[29]실험기록부!$C$9</f>
        <v>197.10000000000002</v>
      </c>
      <c r="D18" s="105">
        <f>[29]실험기록부!$D$9</f>
        <v>130.70643659627601</v>
      </c>
      <c r="E18" s="107">
        <f>[29]실험기록부!$E$9</f>
        <v>200</v>
      </c>
      <c r="F18" s="19">
        <f>[29]실험기록부!$F$9</f>
        <v>26.462399999999995</v>
      </c>
      <c r="G18" s="19">
        <f>[29]실험기록부!$G$9</f>
        <v>3.7320000000000002</v>
      </c>
      <c r="H18" s="20">
        <f>[29]실험기록부!$H$9</f>
        <v>180000</v>
      </c>
      <c r="I18" s="27">
        <f>[30]커버3!$G$12</f>
        <v>733</v>
      </c>
      <c r="J18" s="96">
        <f>[29]일반사항!$D$26</f>
        <v>23.5</v>
      </c>
    </row>
    <row r="19" spans="1:10" ht="20.100000000000001" customHeight="1">
      <c r="A19" s="25">
        <f>[31]일반사항!$B$4</f>
        <v>44393</v>
      </c>
      <c r="B19" s="105">
        <f>[31]일반사항!$E$26</f>
        <v>7.33</v>
      </c>
      <c r="C19" s="106">
        <f>[31]실험기록부!$C$9</f>
        <v>178.2</v>
      </c>
      <c r="D19" s="105">
        <f>[31]실험기록부!$D$9</f>
        <v>57.456233211600001</v>
      </c>
      <c r="E19" s="107">
        <f>[31]실험기록부!$E$9</f>
        <v>206.66666666666677</v>
      </c>
      <c r="F19" s="19">
        <f>[31]실험기록부!$F$9</f>
        <v>29.5944</v>
      </c>
      <c r="G19" s="19">
        <f>[31]실험기록부!$G$9</f>
        <v>2.8847999999999998</v>
      </c>
      <c r="H19" s="20">
        <f>[31]실험기록부!$H$9</f>
        <v>210000</v>
      </c>
      <c r="I19" s="27">
        <f>[32]커버3!$G$12</f>
        <v>667</v>
      </c>
      <c r="J19" s="96">
        <f>[31]일반사항!$D$26</f>
        <v>23.6</v>
      </c>
    </row>
    <row r="20" spans="1:10" ht="20.100000000000001" customHeight="1">
      <c r="A20" s="25">
        <f>[33]일반사항!$B$4</f>
        <v>44394</v>
      </c>
      <c r="B20" s="105">
        <f>[33]일반사항!$E$26</f>
        <v>7.415</v>
      </c>
      <c r="C20" s="106">
        <f>[33]실험기록부!$C$9</f>
        <v>206.1</v>
      </c>
      <c r="D20" s="105">
        <f>[33]실험기록부!$D$9</f>
        <v>103.840489100608</v>
      </c>
      <c r="E20" s="107">
        <f>[33]실험기록부!$E$9</f>
        <v>233.33333333333334</v>
      </c>
      <c r="F20" s="19">
        <f>[33]실험기록부!$F$9</f>
        <v>43.204799999999999</v>
      </c>
      <c r="G20" s="19">
        <f>[33]실험기록부!$G$9</f>
        <v>4.8952799999999996</v>
      </c>
      <c r="H20" s="20">
        <f>[33]실험기록부!$H$9</f>
        <v>220000</v>
      </c>
      <c r="I20" s="27">
        <f>[34]커버3!$G$12</f>
        <v>618</v>
      </c>
      <c r="J20" s="96">
        <f>[33]일반사항!$D$26</f>
        <v>23.55</v>
      </c>
    </row>
    <row r="21" spans="1:10" ht="20.100000000000001" customHeight="1">
      <c r="A21" s="25">
        <f>[35]일반사항!$B$4</f>
        <v>44395</v>
      </c>
      <c r="B21" s="105">
        <f>[35]일반사항!$E$26</f>
        <v>7.52</v>
      </c>
      <c r="C21" s="106">
        <f>[35]실험기록부!$C$9</f>
        <v>171.89999999999998</v>
      </c>
      <c r="D21" s="105">
        <f>[35]실험기록부!$D$9</f>
        <v>97.678409147956003</v>
      </c>
      <c r="E21" s="107">
        <f>[35]실험기록부!$E$9</f>
        <v>193.33333333333323</v>
      </c>
      <c r="F21" s="19">
        <f>[35]실험기록부!$F$9</f>
        <v>37.795200000000001</v>
      </c>
      <c r="G21" s="19">
        <f>[35]실험기록부!$G$9</f>
        <v>3.62256</v>
      </c>
      <c r="H21" s="20">
        <f>[35]실험기록부!$H$9</f>
        <v>180000</v>
      </c>
      <c r="I21" s="27">
        <f>[36]커버3!$G$12</f>
        <v>630</v>
      </c>
      <c r="J21" s="96">
        <f>[35]일반사항!$D$26</f>
        <v>23.5</v>
      </c>
    </row>
    <row r="22" spans="1:10" ht="20.100000000000001" customHeight="1">
      <c r="A22" s="25">
        <f>[37]일반사항!$B$4</f>
        <v>44396</v>
      </c>
      <c r="B22" s="105">
        <f>[37]일반사항!$E$26</f>
        <v>7.5549999999999997</v>
      </c>
      <c r="C22" s="106">
        <f>[37]실험기록부!$C$9</f>
        <v>161.40000000000003</v>
      </c>
      <c r="D22" s="105">
        <f>[37]실험기록부!$D$9</f>
        <v>90.631926626967996</v>
      </c>
      <c r="E22" s="107">
        <f>[37]실험기록부!$E$9</f>
        <v>173.33333333333343</v>
      </c>
      <c r="F22" s="19">
        <f>[37]실험기록부!$F$9</f>
        <v>48.038400000000003</v>
      </c>
      <c r="G22" s="19">
        <f>[37]실험기록부!$G$9</f>
        <v>4.9512</v>
      </c>
      <c r="H22" s="20">
        <f>[37]실험기록부!$H$9</f>
        <v>140000</v>
      </c>
      <c r="I22" s="27">
        <f>[38]커버3!$G$12</f>
        <v>612</v>
      </c>
      <c r="J22" s="96">
        <f>[37]일반사항!$D$26</f>
        <v>21.1</v>
      </c>
    </row>
    <row r="23" spans="1:10" ht="20.100000000000001" customHeight="1">
      <c r="A23" s="25">
        <f>[39]일반사항!$B$4</f>
        <v>44397</v>
      </c>
      <c r="B23" s="105">
        <f>[39]일반사항!$E$26</f>
        <v>7.24</v>
      </c>
      <c r="C23" s="106">
        <f>[39]실험기록부!$C$9</f>
        <v>185.70000000000002</v>
      </c>
      <c r="D23" s="105">
        <f>[39]실험기록부!$D$9</f>
        <v>70.806511439440001</v>
      </c>
      <c r="E23" s="107">
        <f>[39]실험기록부!$E$9</f>
        <v>206.66666666666677</v>
      </c>
      <c r="F23" s="19">
        <f>[39]실험기록부!$F$9</f>
        <v>51.134399999999999</v>
      </c>
      <c r="G23" s="19">
        <f>[39]실험기록부!$G$9</f>
        <v>5.3404800000000003</v>
      </c>
      <c r="H23" s="20">
        <f>[39]실험기록부!$H$9</f>
        <v>190000</v>
      </c>
      <c r="I23" s="27">
        <f>[40]커버3!$G$12</f>
        <v>558</v>
      </c>
      <c r="J23" s="96">
        <f>[39]일반사항!$D$26</f>
        <v>23.6</v>
      </c>
    </row>
    <row r="24" spans="1:10" ht="20.100000000000001" customHeight="1">
      <c r="A24" s="25">
        <f>[41]일반사항!$B$4</f>
        <v>44398</v>
      </c>
      <c r="B24" s="105">
        <f>[41]일반사항!$E$26</f>
        <v>7.4049999999999994</v>
      </c>
      <c r="C24" s="106">
        <f>[41]실험기록부!$C$9</f>
        <v>204.3</v>
      </c>
      <c r="D24" s="105">
        <f>[41]실험기록부!$D$9</f>
        <v>92.147123108103997</v>
      </c>
      <c r="E24" s="107">
        <f>[41]실험기록부!$E$9</f>
        <v>230.00000000000017</v>
      </c>
      <c r="F24" s="19">
        <f>[41]실험기록부!$F$9</f>
        <v>48.050400000000003</v>
      </c>
      <c r="G24" s="19">
        <f>[41]실험기록부!$G$9</f>
        <v>4.2302400000000002</v>
      </c>
      <c r="H24" s="20">
        <f>[41]실험기록부!$H$9</f>
        <v>210000</v>
      </c>
      <c r="I24" s="27">
        <f>[42]커버3!$G$12</f>
        <v>613</v>
      </c>
      <c r="J24" s="96">
        <f>[41]일반사항!$D$26</f>
        <v>25.25</v>
      </c>
    </row>
    <row r="25" spans="1:10" ht="20.100000000000001" customHeight="1">
      <c r="A25" s="25">
        <f>[43]일반사항!$B$4</f>
        <v>44399</v>
      </c>
      <c r="B25" s="105">
        <f>[43]일반사항!$E$26</f>
        <v>7.335</v>
      </c>
      <c r="C25" s="106">
        <f>[43]실험기록부!$C$9</f>
        <v>177.6</v>
      </c>
      <c r="D25" s="105">
        <f>[43]실험기록부!$D$9</f>
        <v>120.5341680728</v>
      </c>
      <c r="E25" s="107">
        <f>[43]실험기록부!$E$9</f>
        <v>193.33333333333368</v>
      </c>
      <c r="F25" s="19">
        <f>[43]실험기록부!$F$9</f>
        <v>46.696799999999996</v>
      </c>
      <c r="G25" s="19">
        <f>[43]실험기록부!$G$9</f>
        <v>4.0617600000000005</v>
      </c>
      <c r="H25" s="20">
        <f>[43]실험기록부!$H$9</f>
        <v>200000</v>
      </c>
      <c r="I25" s="27">
        <f>[44]커버3!$G$12</f>
        <v>551</v>
      </c>
      <c r="J25" s="96">
        <f>[43]일반사항!$D$26</f>
        <v>25.3</v>
      </c>
    </row>
    <row r="26" spans="1:10" ht="20.100000000000001" customHeight="1">
      <c r="A26" s="25">
        <f>[45]일반사항!$B$4</f>
        <v>44400</v>
      </c>
      <c r="B26" s="105">
        <f>[45]일반사항!$E$26</f>
        <v>7.3550000000000004</v>
      </c>
      <c r="C26" s="106">
        <f>[45]실험기록부!$C$9</f>
        <v>164.70000000000002</v>
      </c>
      <c r="D26" s="105">
        <f>[45]실험기록부!$D$9</f>
        <v>90.019535065208004</v>
      </c>
      <c r="E26" s="107">
        <f>[45]실험기록부!$E$9</f>
        <v>196.6666666666664</v>
      </c>
      <c r="F26" s="19">
        <f>[45]실험기록부!$F$9</f>
        <v>54.175199999999997</v>
      </c>
      <c r="G26" s="19">
        <f>[45]실험기록부!$G$9</f>
        <v>5.2910399999999997</v>
      </c>
      <c r="H26" s="20">
        <f>[45]실험기록부!$H$9</f>
        <v>170000</v>
      </c>
      <c r="I26" s="27">
        <f>[46]커버3!$G$12</f>
        <v>636</v>
      </c>
      <c r="J26" s="96">
        <f>[45]일반사항!$D$26</f>
        <v>25.4</v>
      </c>
    </row>
    <row r="27" spans="1:10" ht="20.100000000000001" customHeight="1">
      <c r="A27" s="25">
        <f>[47]일반사항!$B$4</f>
        <v>44401</v>
      </c>
      <c r="B27" s="105">
        <f>[47]일반사항!$E$26</f>
        <v>7.415</v>
      </c>
      <c r="C27" s="106">
        <f>[47]실험기록부!$C$9</f>
        <v>203.7</v>
      </c>
      <c r="D27" s="105">
        <f>[47]실험기록부!$D$9</f>
        <v>73.461845027175997</v>
      </c>
      <c r="E27" s="107">
        <f>[47]실험기록부!$E$9</f>
        <v>186.66666666666649</v>
      </c>
      <c r="F27" s="19">
        <f>[47]실험기록부!$F$9</f>
        <v>45.063600000000008</v>
      </c>
      <c r="G27" s="19">
        <f>[47]실험기록부!$G$9</f>
        <v>4.6915199999999997</v>
      </c>
      <c r="H27" s="20">
        <f>[47]실험기록부!$H$9</f>
        <v>230000</v>
      </c>
      <c r="I27" s="27">
        <f>[48]커버3!$G$12</f>
        <v>574</v>
      </c>
      <c r="J27" s="96">
        <f>[47]일반사항!$D$26</f>
        <v>25.45</v>
      </c>
    </row>
    <row r="28" spans="1:10" ht="20.100000000000001" customHeight="1">
      <c r="A28" s="25">
        <f>[49]일반사항!$B$4</f>
        <v>44402</v>
      </c>
      <c r="B28" s="105">
        <f>[49]일반사항!$E$26</f>
        <v>7.2949999999999999</v>
      </c>
      <c r="C28" s="106">
        <f>[49]실험기록부!$C$9</f>
        <v>189.89999999999998</v>
      </c>
      <c r="D28" s="105">
        <f>[49]실험기록부!$D$9</f>
        <v>79.606432892892002</v>
      </c>
      <c r="E28" s="107">
        <f>[49]실험기록부!$E$9</f>
        <v>163.33333333333351</v>
      </c>
      <c r="F28" s="19">
        <f>[49]실험기록부!$F$9</f>
        <v>60.648000000000003</v>
      </c>
      <c r="G28" s="19">
        <f>[49]실험기록부!$G$9</f>
        <v>6.0691200000000007</v>
      </c>
      <c r="H28" s="20">
        <f>[49]실험기록부!$H$9</f>
        <v>190000</v>
      </c>
      <c r="I28" s="27">
        <f>[50]커버3!$G$12</f>
        <v>645</v>
      </c>
      <c r="J28" s="96">
        <f>[49]일반사항!$D$26</f>
        <v>25.45</v>
      </c>
    </row>
    <row r="29" spans="1:10" ht="20.100000000000001" customHeight="1">
      <c r="A29" s="25">
        <f>[51]일반사항!$B$4</f>
        <v>44403</v>
      </c>
      <c r="B29" s="105">
        <f>[51]일반사항!$E$26</f>
        <v>7.2200000000000006</v>
      </c>
      <c r="C29" s="106">
        <f>[51]실험기록부!$C$9</f>
        <v>198.00000000000006</v>
      </c>
      <c r="D29" s="105">
        <f>[51]실험기록부!$D$9</f>
        <v>95.802105541575997</v>
      </c>
      <c r="E29" s="107">
        <f>[51]실험기록부!$E$9</f>
        <v>213.33333333333306</v>
      </c>
      <c r="F29" s="19">
        <f>[51]실험기록부!$F$9</f>
        <v>42.770400000000009</v>
      </c>
      <c r="G29" s="19">
        <f>[51]실험기록부!$G$9</f>
        <v>3.0528</v>
      </c>
      <c r="H29" s="20">
        <f>[51]실험기록부!$H$9</f>
        <v>220000</v>
      </c>
      <c r="I29" s="27">
        <f>[52]커버3!$G$12</f>
        <v>559</v>
      </c>
      <c r="J29" s="96">
        <f>[51]일반사항!$D$26</f>
        <v>25.7</v>
      </c>
    </row>
    <row r="30" spans="1:10" ht="20.100000000000001" customHeight="1">
      <c r="A30" s="25">
        <f>[53]일반사항!$B$4</f>
        <v>44404</v>
      </c>
      <c r="B30" s="105">
        <f>[53]일반사항!$E$26</f>
        <v>7.3</v>
      </c>
      <c r="C30" s="106">
        <f>[53]실험기록부!$C$9</f>
        <v>189.00000000000003</v>
      </c>
      <c r="D30" s="105">
        <f>[53]실험기록부!$D$9</f>
        <v>81.819474575699999</v>
      </c>
      <c r="E30" s="107">
        <f>[53]실험기록부!$E$9</f>
        <v>193.33333333333368</v>
      </c>
      <c r="F30" s="19">
        <f>[53]실험기록부!$F$9</f>
        <v>40.197600000000001</v>
      </c>
      <c r="G30" s="19">
        <f>[53]실험기록부!$G$9</f>
        <v>3.8083200000000006</v>
      </c>
      <c r="H30" s="20">
        <f>[53]실험기록부!$H$9</f>
        <v>180000</v>
      </c>
      <c r="I30" s="27">
        <f>[54]커버3!$G$12</f>
        <v>626</v>
      </c>
      <c r="J30" s="96">
        <f>[53]일반사항!$D$26</f>
        <v>25.6</v>
      </c>
    </row>
    <row r="31" spans="1:10" ht="20.100000000000001" customHeight="1">
      <c r="A31" s="25">
        <f>[55]일반사항!$B$4</f>
        <v>44405</v>
      </c>
      <c r="B31" s="105">
        <f>[55]일반사항!$E$26</f>
        <v>7.4450000000000003</v>
      </c>
      <c r="C31" s="106">
        <f>[55]실험기록부!$C$9</f>
        <v>190.125</v>
      </c>
      <c r="D31" s="105">
        <f>[55]실험기록부!$D$9</f>
        <v>96.252856026412005</v>
      </c>
      <c r="E31" s="107">
        <f>[55]실험기록부!$E$9</f>
        <v>193.33333333333368</v>
      </c>
      <c r="F31" s="19">
        <f>[55]실험기록부!$F$9</f>
        <v>57.18719999999999</v>
      </c>
      <c r="G31" s="19">
        <f>[55]실험기록부!$G$9</f>
        <v>5.6855999999999991</v>
      </c>
      <c r="H31" s="20">
        <f>[55]실험기록부!$H$9</f>
        <v>200000</v>
      </c>
      <c r="I31" s="27">
        <f>[56]커버3!$G$12</f>
        <v>524</v>
      </c>
      <c r="J31" s="96">
        <f>[55]일반사항!$D$26</f>
        <v>25.55</v>
      </c>
    </row>
    <row r="32" spans="1:10" ht="20.100000000000001" customHeight="1">
      <c r="A32" s="25">
        <f>[57]일반사항!$B$4</f>
        <v>44406</v>
      </c>
      <c r="B32" s="105">
        <f>[57]일반사항!$E$26</f>
        <v>7.3550000000000004</v>
      </c>
      <c r="C32" s="106">
        <f>[57]실험기록부!$C$9</f>
        <v>204.75</v>
      </c>
      <c r="D32" s="105">
        <f>[57]실험기록부!$D$9</f>
        <v>85.221305734908</v>
      </c>
      <c r="E32" s="107">
        <f>[57]실험기록부!$E$9</f>
        <v>196.66666666666686</v>
      </c>
      <c r="F32" s="19">
        <f>[57]실험기록부!$F$9</f>
        <v>55.797599999999996</v>
      </c>
      <c r="G32" s="19">
        <f>[57]실험기록부!$G$9</f>
        <v>4.5609599999999997</v>
      </c>
      <c r="H32" s="20">
        <f>[57]실험기록부!$H$9</f>
        <v>220000</v>
      </c>
      <c r="I32" s="27">
        <f>[58]커버3!$G$12</f>
        <v>652</v>
      </c>
      <c r="J32" s="96">
        <f>[57]일반사항!$D$26</f>
        <v>25.7</v>
      </c>
    </row>
    <row r="33" spans="1:10" ht="20.100000000000001" customHeight="1">
      <c r="A33" s="25">
        <f>[59]일반사항!$B$4</f>
        <v>44407</v>
      </c>
      <c r="B33" s="105">
        <f>[59]일반사항!$E$26</f>
        <v>7.45</v>
      </c>
      <c r="C33" s="106">
        <f>[59]실험기록부!$C$9</f>
        <v>223.12499999999997</v>
      </c>
      <c r="D33" s="105">
        <f>[59]실험기록부!$D$9</f>
        <v>51.774302594200002</v>
      </c>
      <c r="E33" s="107">
        <f>[59]실험기록부!$E$9</f>
        <v>203.3333333333336</v>
      </c>
      <c r="F33" s="19">
        <f>[59]실험기록부!$F$9</f>
        <v>51.419999999999995</v>
      </c>
      <c r="G33" s="19">
        <f>[59]실험기록부!$G$9</f>
        <v>4.93872</v>
      </c>
      <c r="H33" s="20">
        <f>[59]실험기록부!$H$9</f>
        <v>210000</v>
      </c>
      <c r="I33" s="27">
        <f>[60]커버3!$G$12</f>
        <v>603</v>
      </c>
      <c r="J33" s="96">
        <f>[59]일반사항!$D$26</f>
        <v>26.05</v>
      </c>
    </row>
    <row r="34" spans="1:10" ht="20.100000000000001" customHeight="1" thickBot="1">
      <c r="A34" s="28">
        <f>[61]일반사항!$B$4</f>
        <v>44408</v>
      </c>
      <c r="B34" s="108">
        <f>[61]일반사항!$E$26</f>
        <v>7.2650000000000006</v>
      </c>
      <c r="C34" s="109">
        <f>[61]실험기록부!$C$9</f>
        <v>178.125</v>
      </c>
      <c r="D34" s="108">
        <f>[61]실험기록부!$D$9</f>
        <v>79.606432892892002</v>
      </c>
      <c r="E34" s="110">
        <f>[61]실험기록부!$E$9</f>
        <v>190.00000000000009</v>
      </c>
      <c r="F34" s="32">
        <f>[61]실험기록부!$F$9</f>
        <v>56.061600000000006</v>
      </c>
      <c r="G34" s="32">
        <f>[61]실험기록부!$G$9</f>
        <v>5.0505599999999999</v>
      </c>
      <c r="H34" s="33">
        <f>[61]실험기록부!$H$9</f>
        <v>170000</v>
      </c>
      <c r="I34" s="34">
        <f>[62]커버3!$G$12</f>
        <v>709</v>
      </c>
      <c r="J34" s="96">
        <f>[61]일반사항!$D$26</f>
        <v>25.95</v>
      </c>
    </row>
    <row r="35" spans="1:10" ht="20.100000000000001" customHeight="1" thickTop="1">
      <c r="A35" s="15" t="s">
        <v>0</v>
      </c>
      <c r="B35" s="111">
        <f t="shared" ref="B35:I35" si="0">MAX(B4:B34)</f>
        <v>7.5750000000000002</v>
      </c>
      <c r="C35" s="111">
        <f t="shared" si="0"/>
        <v>223.12499999999997</v>
      </c>
      <c r="D35" s="111">
        <f t="shared" si="0"/>
        <v>130.70643659627601</v>
      </c>
      <c r="E35" s="111">
        <f t="shared" si="0"/>
        <v>233.33333333333334</v>
      </c>
      <c r="F35" s="40">
        <f t="shared" si="0"/>
        <v>60.648000000000003</v>
      </c>
      <c r="G35" s="40">
        <f t="shared" si="0"/>
        <v>6.0691200000000007</v>
      </c>
      <c r="H35" s="97">
        <f t="shared" si="0"/>
        <v>230000</v>
      </c>
      <c r="I35" s="35">
        <f t="shared" si="0"/>
        <v>1046</v>
      </c>
    </row>
    <row r="36" spans="1:10" ht="20.100000000000001" customHeight="1">
      <c r="A36" s="1" t="s">
        <v>1</v>
      </c>
      <c r="B36" s="112">
        <f t="shared" ref="B36:I36" si="1">MIN(B5:B33)</f>
        <v>7.2200000000000006</v>
      </c>
      <c r="C36" s="112">
        <f t="shared" si="1"/>
        <v>149.99999999999997</v>
      </c>
      <c r="D36" s="112">
        <f t="shared" si="1"/>
        <v>22.737324956091999</v>
      </c>
      <c r="E36" s="112">
        <f t="shared" si="1"/>
        <v>150</v>
      </c>
      <c r="F36" s="41">
        <f t="shared" si="1"/>
        <v>26.380800000000001</v>
      </c>
      <c r="G36" s="41">
        <f t="shared" si="1"/>
        <v>2.1715200000000001</v>
      </c>
      <c r="H36" s="98">
        <f t="shared" si="1"/>
        <v>140000</v>
      </c>
      <c r="I36" s="85">
        <f t="shared" si="1"/>
        <v>524</v>
      </c>
    </row>
    <row r="37" spans="1:10" ht="20.100000000000001" customHeight="1" thickBot="1">
      <c r="A37" s="2" t="s">
        <v>2</v>
      </c>
      <c r="B37" s="113">
        <f t="shared" ref="B37:I37" si="2">AVERAGE(B4:B33)</f>
        <v>7.4148333333333323</v>
      </c>
      <c r="C37" s="113">
        <f t="shared" si="2"/>
        <v>179.07999999999996</v>
      </c>
      <c r="D37" s="113">
        <f t="shared" si="2"/>
        <v>77.322048983586129</v>
      </c>
      <c r="E37" s="113">
        <f t="shared" si="2"/>
        <v>186.55555555555563</v>
      </c>
      <c r="F37" s="42">
        <f t="shared" si="2"/>
        <v>44.49036000000001</v>
      </c>
      <c r="G37" s="42">
        <f t="shared" si="2"/>
        <v>4.1768399999999994</v>
      </c>
      <c r="H37" s="99">
        <f t="shared" si="2"/>
        <v>197666.66666666666</v>
      </c>
      <c r="I37" s="86">
        <f t="shared" si="2"/>
        <v>710.93333333333328</v>
      </c>
      <c r="J37" s="61">
        <f>I37*30</f>
        <v>21328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8"/>
  <sheetViews>
    <sheetView tabSelected="1" view="pageBreakPreview" zoomScaleSheetLayoutView="100" workbookViewId="0">
      <pane xSplit="1" ySplit="3" topLeftCell="B4" activePane="bottomRight" state="frozen"/>
      <selection activeCell="A34" sqref="A34:I34"/>
      <selection pane="topRight" activeCell="A34" sqref="A34:I34"/>
      <selection pane="bottomLeft" activeCell="A34" sqref="A34:I34"/>
      <selection pane="bottomRight" activeCell="Q16" sqref="Q16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22" t="s">
        <v>26</v>
      </c>
      <c r="B1" s="122"/>
      <c r="C1" s="122"/>
      <c r="D1" s="122"/>
      <c r="E1" s="122"/>
      <c r="F1" s="122"/>
      <c r="G1" s="122"/>
      <c r="H1" s="122"/>
      <c r="I1" s="122"/>
    </row>
    <row r="2" spans="1:18" ht="20.100000000000001" customHeight="1">
      <c r="A2" s="117" t="s">
        <v>14</v>
      </c>
      <c r="B2" s="119" t="s">
        <v>13</v>
      </c>
      <c r="C2" s="120"/>
      <c r="D2" s="120"/>
      <c r="E2" s="120"/>
      <c r="F2" s="120"/>
      <c r="G2" s="120"/>
      <c r="H2" s="120"/>
      <c r="I2" s="121"/>
    </row>
    <row r="3" spans="1:18" ht="24.95" customHeight="1" thickBot="1">
      <c r="A3" s="118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[1]일반사항!$B$4</f>
        <v>44378</v>
      </c>
      <c r="B4" s="57">
        <f>[1]일반사항!$E$27</f>
        <v>6.8849999999999998</v>
      </c>
      <c r="C4" s="91">
        <f>[1]실험기록부!$C$10</f>
        <v>7.6349999999999998</v>
      </c>
      <c r="D4" s="92">
        <f>[1]실험기록부!$D$10</f>
        <v>10.781605074591999</v>
      </c>
      <c r="E4" s="93">
        <f>[1]실험기록부!$E$10</f>
        <v>7.1999999999999895</v>
      </c>
      <c r="F4" s="94">
        <f>[1]실험기록부!$F$10</f>
        <v>4.3991999999999996</v>
      </c>
      <c r="G4" s="94">
        <f>[1]실험기록부!$G$10</f>
        <v>0.31502400000000003</v>
      </c>
      <c r="H4" s="95">
        <f>[1]실험기록부!$H$10</f>
        <v>810</v>
      </c>
      <c r="I4" s="26"/>
      <c r="K4" s="62">
        <f>IF(B4&gt;0,B4,"")</f>
        <v>6.8849999999999998</v>
      </c>
      <c r="L4" s="63">
        <f t="shared" ref="L4:P4" si="0">IF(C4&gt;0,C4,"")</f>
        <v>7.6349999999999998</v>
      </c>
      <c r="M4" s="63">
        <f t="shared" si="0"/>
        <v>10.781605074591999</v>
      </c>
      <c r="N4" s="63">
        <f t="shared" si="0"/>
        <v>7.1999999999999895</v>
      </c>
      <c r="O4" s="63">
        <f t="shared" si="0"/>
        <v>4.3991999999999996</v>
      </c>
      <c r="P4" s="63">
        <f t="shared" si="0"/>
        <v>0.31502400000000003</v>
      </c>
      <c r="Q4" s="64">
        <f>IF(H4&gt;0,H4,"")</f>
        <v>810</v>
      </c>
      <c r="R4" s="65" t="str">
        <f>IF(I4&gt;0,I4,"")</f>
        <v/>
      </c>
    </row>
    <row r="5" spans="1:18" ht="20.100000000000001" customHeight="1">
      <c r="A5" s="25">
        <f>[3]일반사항!$B$4</f>
        <v>44379</v>
      </c>
      <c r="B5" s="58">
        <f>[3]일반사항!$E$27</f>
        <v>6.9050000000000002</v>
      </c>
      <c r="C5" s="51">
        <f>[3]실험기록부!$C$10</f>
        <v>7.89</v>
      </c>
      <c r="D5" s="52">
        <f>[3]실험기록부!$D$10</f>
        <v>12.424434115794</v>
      </c>
      <c r="E5" s="53">
        <f>[3]실험기록부!$E$10</f>
        <v>11.600000000000021</v>
      </c>
      <c r="F5" s="48">
        <f>[3]실험기록부!$F$10</f>
        <v>7.9123199999999994</v>
      </c>
      <c r="G5" s="48">
        <f>[3]실험기록부!$G$10</f>
        <v>0.22607999999999998</v>
      </c>
      <c r="H5" s="47">
        <f>[3]실험기록부!$H$10</f>
        <v>1000</v>
      </c>
      <c r="I5" s="27"/>
      <c r="K5" s="65">
        <f t="shared" ref="K5:K33" si="1">IF(B5&gt;0,B5,"")</f>
        <v>6.9050000000000002</v>
      </c>
      <c r="L5" s="66">
        <f t="shared" ref="L5:L33" si="2">IF(C5&gt;0,C5,"")</f>
        <v>7.89</v>
      </c>
      <c r="M5" s="66">
        <f t="shared" ref="M5:M33" si="3">IF(D5&gt;0,D5,"")</f>
        <v>12.424434115794</v>
      </c>
      <c r="N5" s="66">
        <f t="shared" ref="N5:N33" si="4">IF(E5&gt;0,E5,"")</f>
        <v>11.600000000000021</v>
      </c>
      <c r="O5" s="66">
        <f t="shared" ref="O5:O33" si="5">IF(F5&gt;0,F5,"")</f>
        <v>7.9123199999999994</v>
      </c>
      <c r="P5" s="66">
        <f t="shared" ref="P5:P33" si="6">IF(G5&gt;0,G5,"")</f>
        <v>0.22607999999999998</v>
      </c>
      <c r="Q5" s="67">
        <f t="shared" ref="Q5:Q33" si="7">IF(H5&gt;0,H5,"")</f>
        <v>1000</v>
      </c>
      <c r="R5" s="65" t="str">
        <f t="shared" ref="R5:R20" si="8">IF(I5&gt;0,I5,"")</f>
        <v/>
      </c>
    </row>
    <row r="6" spans="1:18" ht="20.100000000000001" customHeight="1">
      <c r="A6" s="25">
        <f>[5]일반사항!$B$4</f>
        <v>44380</v>
      </c>
      <c r="B6" s="58">
        <f>[5]일반사항!$E$27</f>
        <v>0</v>
      </c>
      <c r="C6" s="51">
        <f>[5]실험기록부!$C$10</f>
        <v>0</v>
      </c>
      <c r="D6" s="52">
        <f>[5]실험기록부!$D$10</f>
        <v>0</v>
      </c>
      <c r="E6" s="53">
        <f>[5]실험기록부!$E$10</f>
        <v>0</v>
      </c>
      <c r="F6" s="48">
        <f>[5]실험기록부!$F$10</f>
        <v>0</v>
      </c>
      <c r="G6" s="48">
        <f>[5]실험기록부!$G$10</f>
        <v>0</v>
      </c>
      <c r="H6" s="47">
        <f>[5]실험기록부!$H$10</f>
        <v>0</v>
      </c>
      <c r="I6" s="27"/>
      <c r="K6" s="65" t="str">
        <f t="shared" si="1"/>
        <v/>
      </c>
      <c r="L6" s="66" t="str">
        <f t="shared" si="2"/>
        <v/>
      </c>
      <c r="M6" s="66" t="str">
        <f t="shared" si="3"/>
        <v/>
      </c>
      <c r="N6" s="66" t="str">
        <f t="shared" si="4"/>
        <v/>
      </c>
      <c r="O6" s="66" t="str">
        <f t="shared" si="5"/>
        <v/>
      </c>
      <c r="P6" s="66" t="str">
        <f t="shared" si="6"/>
        <v/>
      </c>
      <c r="Q6" s="67" t="str">
        <f t="shared" si="7"/>
        <v/>
      </c>
      <c r="R6" s="65" t="str">
        <f t="shared" si="8"/>
        <v/>
      </c>
    </row>
    <row r="7" spans="1:18" ht="20.100000000000001" customHeight="1">
      <c r="A7" s="25">
        <f>[7]일반사항!$B$4</f>
        <v>44381</v>
      </c>
      <c r="B7" s="58">
        <f>[7]일반사항!$E$27</f>
        <v>0</v>
      </c>
      <c r="C7" s="51">
        <f>[7]실험기록부!$C$10</f>
        <v>0</v>
      </c>
      <c r="D7" s="52">
        <f>[7]실험기록부!$D$10</f>
        <v>0</v>
      </c>
      <c r="E7" s="53">
        <f>[7]실험기록부!$E$10</f>
        <v>0</v>
      </c>
      <c r="F7" s="48">
        <f>[7]실험기록부!$F$10</f>
        <v>0</v>
      </c>
      <c r="G7" s="48">
        <f>[7]실험기록부!$G$10</f>
        <v>0</v>
      </c>
      <c r="H7" s="47">
        <f>[7]실험기록부!$H$10</f>
        <v>0</v>
      </c>
      <c r="I7" s="27"/>
      <c r="K7" s="65" t="str">
        <f t="shared" si="1"/>
        <v/>
      </c>
      <c r="L7" s="66" t="str">
        <f t="shared" si="2"/>
        <v/>
      </c>
      <c r="M7" s="66" t="str">
        <f t="shared" si="3"/>
        <v/>
      </c>
      <c r="N7" s="66" t="str">
        <f t="shared" si="4"/>
        <v/>
      </c>
      <c r="O7" s="66" t="str">
        <f t="shared" si="5"/>
        <v/>
      </c>
      <c r="P7" s="66" t="str">
        <f t="shared" si="6"/>
        <v/>
      </c>
      <c r="Q7" s="67" t="str">
        <f t="shared" si="7"/>
        <v/>
      </c>
      <c r="R7" s="65" t="str">
        <f t="shared" si="8"/>
        <v/>
      </c>
    </row>
    <row r="8" spans="1:18" ht="20.100000000000001" customHeight="1">
      <c r="A8" s="25">
        <f>[9]일반사항!$B$4</f>
        <v>44382</v>
      </c>
      <c r="B8" s="58">
        <f>[9]일반사항!$E$27</f>
        <v>6.8849999999999998</v>
      </c>
      <c r="C8" s="51">
        <f>[9]실험기록부!$C$10</f>
        <v>7.77</v>
      </c>
      <c r="D8" s="52">
        <f>[9]실험기록부!$D$10</f>
        <v>4.7620858303300002</v>
      </c>
      <c r="E8" s="53">
        <f>[9]실험기록부!$E$10</f>
        <v>6.3999999999999773</v>
      </c>
      <c r="F8" s="48">
        <f>[9]실험기록부!$F$10</f>
        <v>4.51776</v>
      </c>
      <c r="G8" s="48">
        <f>[9]실험기록부!$G$10</f>
        <v>0.13622399999999998</v>
      </c>
      <c r="H8" s="47">
        <f>[9]실험기록부!$H$10</f>
        <v>810</v>
      </c>
      <c r="I8" s="27"/>
      <c r="K8" s="65">
        <f t="shared" si="1"/>
        <v>6.8849999999999998</v>
      </c>
      <c r="L8" s="66">
        <f t="shared" si="2"/>
        <v>7.77</v>
      </c>
      <c r="M8" s="66">
        <f t="shared" si="3"/>
        <v>4.7620858303300002</v>
      </c>
      <c r="N8" s="66">
        <f t="shared" si="4"/>
        <v>6.3999999999999773</v>
      </c>
      <c r="O8" s="66">
        <f t="shared" si="5"/>
        <v>4.51776</v>
      </c>
      <c r="P8" s="66">
        <f t="shared" si="6"/>
        <v>0.13622399999999998</v>
      </c>
      <c r="Q8" s="67">
        <f t="shared" si="7"/>
        <v>810</v>
      </c>
      <c r="R8" s="65" t="str">
        <f t="shared" si="8"/>
        <v/>
      </c>
    </row>
    <row r="9" spans="1:18" ht="20.100000000000001" customHeight="1">
      <c r="A9" s="25">
        <f>[11]일반사항!$B$4</f>
        <v>44383</v>
      </c>
      <c r="B9" s="58">
        <f>[11]일반사항!$E$27</f>
        <v>6.8949999999999996</v>
      </c>
      <c r="C9" s="51">
        <f>[11]실험기록부!$C$10</f>
        <v>7.875</v>
      </c>
      <c r="D9" s="52">
        <f>[11]실험기록부!$D$10</f>
        <v>16.061662435643999</v>
      </c>
      <c r="E9" s="53">
        <f>[11]실험기록부!$E$10</f>
        <v>5.2000000000000455</v>
      </c>
      <c r="F9" s="48">
        <f>[11]실험기록부!$F$10</f>
        <v>7.975200000000001</v>
      </c>
      <c r="G9" s="48">
        <f>[11]실험기록부!$G$10</f>
        <v>0.40468799999999999</v>
      </c>
      <c r="H9" s="47">
        <f>[11]실험기록부!$H$10</f>
        <v>780</v>
      </c>
      <c r="I9" s="27"/>
      <c r="K9" s="65">
        <f t="shared" si="1"/>
        <v>6.8949999999999996</v>
      </c>
      <c r="L9" s="66">
        <f t="shared" si="2"/>
        <v>7.875</v>
      </c>
      <c r="M9" s="66">
        <f t="shared" si="3"/>
        <v>16.061662435643999</v>
      </c>
      <c r="N9" s="66">
        <f t="shared" si="4"/>
        <v>5.2000000000000455</v>
      </c>
      <c r="O9" s="66">
        <f t="shared" si="5"/>
        <v>7.975200000000001</v>
      </c>
      <c r="P9" s="66">
        <f t="shared" si="6"/>
        <v>0.40468799999999999</v>
      </c>
      <c r="Q9" s="67">
        <f t="shared" si="7"/>
        <v>780</v>
      </c>
      <c r="R9" s="65" t="str">
        <f t="shared" si="8"/>
        <v/>
      </c>
    </row>
    <row r="10" spans="1:18" ht="20.100000000000001" customHeight="1">
      <c r="A10" s="25">
        <f>[13]일반사항!$B$4</f>
        <v>44384</v>
      </c>
      <c r="B10" s="58">
        <f>[13]일반사항!$E$27</f>
        <v>6.9050000000000002</v>
      </c>
      <c r="C10" s="51">
        <f>[13]실험기록부!$C$10</f>
        <v>7.8149999999999995</v>
      </c>
      <c r="D10" s="52">
        <f>[13]실험기록부!$D$10</f>
        <v>13.732122127756</v>
      </c>
      <c r="E10" s="53">
        <f>[13]실험기록부!$E$10</f>
        <v>7.1999999999999895</v>
      </c>
      <c r="F10" s="48">
        <f>[13]실험기록부!$F$10</f>
        <v>7.10304</v>
      </c>
      <c r="G10" s="48">
        <f>[13]실험기록부!$G$10</f>
        <v>0.45791999999999999</v>
      </c>
      <c r="H10" s="47">
        <f>[13]실험기록부!$H$10</f>
        <v>740</v>
      </c>
      <c r="I10" s="27"/>
      <c r="K10" s="65">
        <f t="shared" si="1"/>
        <v>6.9050000000000002</v>
      </c>
      <c r="L10" s="66">
        <f t="shared" si="2"/>
        <v>7.8149999999999995</v>
      </c>
      <c r="M10" s="66">
        <f t="shared" si="3"/>
        <v>13.732122127756</v>
      </c>
      <c r="N10" s="66">
        <f t="shared" si="4"/>
        <v>7.1999999999999895</v>
      </c>
      <c r="O10" s="66">
        <f t="shared" si="5"/>
        <v>7.10304</v>
      </c>
      <c r="P10" s="66">
        <f t="shared" si="6"/>
        <v>0.45791999999999999</v>
      </c>
      <c r="Q10" s="67">
        <f t="shared" si="7"/>
        <v>740</v>
      </c>
      <c r="R10" s="65" t="str">
        <f t="shared" si="8"/>
        <v/>
      </c>
    </row>
    <row r="11" spans="1:18" ht="20.100000000000001" customHeight="1">
      <c r="A11" s="25">
        <f>[15]일반사항!$B$4</f>
        <v>44385</v>
      </c>
      <c r="B11" s="58">
        <f>[15]일반사항!$E$27</f>
        <v>6.915</v>
      </c>
      <c r="C11" s="51">
        <f>[15]실험기록부!$C$10</f>
        <v>7.5</v>
      </c>
      <c r="D11" s="52">
        <f>[15]실험기록부!$D$10</f>
        <v>14.715980964388001</v>
      </c>
      <c r="E11" s="53">
        <f>[15]실험기록부!$E$10</f>
        <v>13.199999999999989</v>
      </c>
      <c r="F11" s="48">
        <f>[15]실험기록부!$F$10</f>
        <v>8.5444800000000001</v>
      </c>
      <c r="G11" s="48">
        <f>[15]실험기록부!$G$10</f>
        <v>0.59726399999999991</v>
      </c>
      <c r="H11" s="47">
        <f>[15]실험기록부!$H$10</f>
        <v>710</v>
      </c>
      <c r="I11" s="27"/>
      <c r="K11" s="65">
        <f t="shared" si="1"/>
        <v>6.915</v>
      </c>
      <c r="L11" s="66">
        <f t="shared" si="2"/>
        <v>7.5</v>
      </c>
      <c r="M11" s="66">
        <f t="shared" si="3"/>
        <v>14.715980964388001</v>
      </c>
      <c r="N11" s="66">
        <f t="shared" si="4"/>
        <v>13.199999999999989</v>
      </c>
      <c r="O11" s="66">
        <f t="shared" si="5"/>
        <v>8.5444800000000001</v>
      </c>
      <c r="P11" s="66">
        <f t="shared" si="6"/>
        <v>0.59726399999999991</v>
      </c>
      <c r="Q11" s="67">
        <f t="shared" si="7"/>
        <v>710</v>
      </c>
      <c r="R11" s="65" t="str">
        <f t="shared" si="8"/>
        <v/>
      </c>
    </row>
    <row r="12" spans="1:18" ht="20.100000000000001" customHeight="1">
      <c r="A12" s="25">
        <f>[17]일반사항!$B$4</f>
        <v>44386</v>
      </c>
      <c r="B12" s="58">
        <f>[17]일반사항!$E$27</f>
        <v>6.8449999999999998</v>
      </c>
      <c r="C12" s="51">
        <f>[17]실험기록부!$C$10</f>
        <v>8.0249999999999986</v>
      </c>
      <c r="D12" s="52">
        <f>[17]실험기록부!$D$10</f>
        <v>20.295623771477999</v>
      </c>
      <c r="E12" s="53">
        <f>[17]실험기록부!$E$10</f>
        <v>10</v>
      </c>
      <c r="F12" s="48">
        <f>[17]실험기록부!$F$10</f>
        <v>5.7873599999999996</v>
      </c>
      <c r="G12" s="48">
        <f>[17]실험기록부!$G$10</f>
        <v>0.59721599999999997</v>
      </c>
      <c r="H12" s="47">
        <f>[17]실험기록부!$H$10</f>
        <v>790</v>
      </c>
      <c r="I12" s="27"/>
      <c r="K12" s="65">
        <f t="shared" si="1"/>
        <v>6.8449999999999998</v>
      </c>
      <c r="L12" s="66">
        <f t="shared" si="2"/>
        <v>8.0249999999999986</v>
      </c>
      <c r="M12" s="66">
        <f t="shared" si="3"/>
        <v>20.295623771477999</v>
      </c>
      <c r="N12" s="66">
        <f t="shared" si="4"/>
        <v>10</v>
      </c>
      <c r="O12" s="66">
        <f t="shared" si="5"/>
        <v>5.7873599999999996</v>
      </c>
      <c r="P12" s="66">
        <f t="shared" si="6"/>
        <v>0.59721599999999997</v>
      </c>
      <c r="Q12" s="67">
        <f t="shared" si="7"/>
        <v>790</v>
      </c>
      <c r="R12" s="65" t="str">
        <f t="shared" si="8"/>
        <v/>
      </c>
    </row>
    <row r="13" spans="1:18" ht="20.100000000000001" customHeight="1">
      <c r="A13" s="25">
        <f>[19]일반사항!$B$4</f>
        <v>44387</v>
      </c>
      <c r="B13" s="58">
        <f>[19]일반사항!$E$27</f>
        <v>0</v>
      </c>
      <c r="C13" s="51">
        <f>[19]실험기록부!$C$10</f>
        <v>0</v>
      </c>
      <c r="D13" s="52">
        <f>[19]실험기록부!$D$10</f>
        <v>0</v>
      </c>
      <c r="E13" s="53">
        <f>[19]실험기록부!$E$10</f>
        <v>0</v>
      </c>
      <c r="F13" s="48">
        <f>[19]실험기록부!$F$10</f>
        <v>0</v>
      </c>
      <c r="G13" s="48">
        <f>[19]실험기록부!$G$10</f>
        <v>0</v>
      </c>
      <c r="H13" s="47">
        <f>[19]실험기록부!$H$10</f>
        <v>0</v>
      </c>
      <c r="I13" s="27"/>
      <c r="K13" s="65" t="str">
        <f t="shared" si="1"/>
        <v/>
      </c>
      <c r="L13" s="66" t="str">
        <f t="shared" si="2"/>
        <v/>
      </c>
      <c r="M13" s="66" t="str">
        <f t="shared" si="3"/>
        <v/>
      </c>
      <c r="N13" s="66" t="str">
        <f t="shared" si="4"/>
        <v/>
      </c>
      <c r="O13" s="66" t="str">
        <f t="shared" si="5"/>
        <v/>
      </c>
      <c r="P13" s="66" t="str">
        <f t="shared" si="6"/>
        <v/>
      </c>
      <c r="Q13" s="67" t="str">
        <f t="shared" si="7"/>
        <v/>
      </c>
      <c r="R13" s="65" t="str">
        <f t="shared" si="8"/>
        <v/>
      </c>
    </row>
    <row r="14" spans="1:18" ht="20.100000000000001" customHeight="1">
      <c r="A14" s="25">
        <f>[21]일반사항!$B$4</f>
        <v>44388</v>
      </c>
      <c r="B14" s="58">
        <f>[21]일반사항!$E$27</f>
        <v>0</v>
      </c>
      <c r="C14" s="51">
        <f>[21]실험기록부!$C$10</f>
        <v>0</v>
      </c>
      <c r="D14" s="52">
        <f>[21]실험기록부!$D$10</f>
        <v>0</v>
      </c>
      <c r="E14" s="53">
        <f>[21]실험기록부!$E$10</f>
        <v>0</v>
      </c>
      <c r="F14" s="48">
        <f>[21]실험기록부!$F$10</f>
        <v>0</v>
      </c>
      <c r="G14" s="48">
        <f>[21]실험기록부!$G$10</f>
        <v>0</v>
      </c>
      <c r="H14" s="47">
        <f>[21]실험기록부!$H$10</f>
        <v>0</v>
      </c>
      <c r="I14" s="27"/>
      <c r="K14" s="65" t="str">
        <f t="shared" si="1"/>
        <v/>
      </c>
      <c r="L14" s="66" t="str">
        <f t="shared" si="2"/>
        <v/>
      </c>
      <c r="M14" s="66" t="str">
        <f t="shared" si="3"/>
        <v/>
      </c>
      <c r="N14" s="66" t="str">
        <f t="shared" si="4"/>
        <v/>
      </c>
      <c r="O14" s="66" t="str">
        <f t="shared" si="5"/>
        <v/>
      </c>
      <c r="P14" s="66" t="str">
        <f t="shared" si="6"/>
        <v/>
      </c>
      <c r="Q14" s="67" t="str">
        <f t="shared" si="7"/>
        <v/>
      </c>
      <c r="R14" s="65" t="str">
        <f t="shared" si="8"/>
        <v/>
      </c>
    </row>
    <row r="15" spans="1:18" ht="20.100000000000001" customHeight="1">
      <c r="A15" s="25">
        <f>[23]일반사항!$B$4</f>
        <v>44389</v>
      </c>
      <c r="B15" s="58">
        <f>[23]일반사항!$E$27</f>
        <v>6.91</v>
      </c>
      <c r="C15" s="51">
        <f>[23]실험기록부!$C$10</f>
        <v>9.7950000000000017</v>
      </c>
      <c r="D15" s="52">
        <f>[23]실험기록부!$D$10</f>
        <v>11.454680733448001</v>
      </c>
      <c r="E15" s="53">
        <f>[23]실험기록부!$E$10</f>
        <v>17.199999999999989</v>
      </c>
      <c r="F15" s="48">
        <f>[23]실험기록부!$F$10</f>
        <v>8.3332799999999985</v>
      </c>
      <c r="G15" s="48">
        <f>[23]실험기록부!$G$10</f>
        <v>0.32318399999999997</v>
      </c>
      <c r="H15" s="47">
        <f>[23]실험기록부!$H$10</f>
        <v>700</v>
      </c>
      <c r="I15" s="27"/>
      <c r="K15" s="65">
        <f t="shared" si="1"/>
        <v>6.91</v>
      </c>
      <c r="L15" s="66">
        <f t="shared" si="2"/>
        <v>9.7950000000000017</v>
      </c>
      <c r="M15" s="66">
        <f t="shared" si="3"/>
        <v>11.454680733448001</v>
      </c>
      <c r="N15" s="66">
        <f t="shared" si="4"/>
        <v>17.199999999999989</v>
      </c>
      <c r="O15" s="66">
        <f t="shared" si="5"/>
        <v>8.3332799999999985</v>
      </c>
      <c r="P15" s="66">
        <f t="shared" si="6"/>
        <v>0.32318399999999997</v>
      </c>
      <c r="Q15" s="67">
        <f t="shared" si="7"/>
        <v>700</v>
      </c>
      <c r="R15" s="65" t="str">
        <f t="shared" si="8"/>
        <v/>
      </c>
    </row>
    <row r="16" spans="1:18" ht="20.100000000000001" customHeight="1">
      <c r="A16" s="25">
        <f>[25]일반사항!$B$4</f>
        <v>44390</v>
      </c>
      <c r="B16" s="58">
        <f>[25]일반사항!$E$27</f>
        <v>6.9050000000000002</v>
      </c>
      <c r="C16" s="51">
        <f>[25]실험기록부!$C$10</f>
        <v>9.2099999999999991</v>
      </c>
      <c r="D16" s="52">
        <f>[25]실험기록부!$D$10</f>
        <v>5.6542265151660001</v>
      </c>
      <c r="E16" s="53">
        <f>[25]실험기록부!$E$10</f>
        <v>10.800000000000011</v>
      </c>
      <c r="F16" s="48">
        <f>[25]실험기록부!$F$10</f>
        <v>11.025119999999999</v>
      </c>
      <c r="G16" s="48">
        <f>[25]실험기록부!$G$10</f>
        <v>0.53424000000000005</v>
      </c>
      <c r="H16" s="47">
        <f>[25]실험기록부!$H$10</f>
        <v>780</v>
      </c>
      <c r="I16" s="27"/>
      <c r="K16" s="65">
        <f t="shared" si="1"/>
        <v>6.9050000000000002</v>
      </c>
      <c r="L16" s="66">
        <f t="shared" si="2"/>
        <v>9.2099999999999991</v>
      </c>
      <c r="M16" s="66">
        <f t="shared" si="3"/>
        <v>5.6542265151660001</v>
      </c>
      <c r="N16" s="66">
        <f t="shared" si="4"/>
        <v>10.800000000000011</v>
      </c>
      <c r="O16" s="66">
        <f t="shared" si="5"/>
        <v>11.025119999999999</v>
      </c>
      <c r="P16" s="66">
        <f t="shared" si="6"/>
        <v>0.53424000000000005</v>
      </c>
      <c r="Q16" s="67">
        <f t="shared" si="7"/>
        <v>780</v>
      </c>
      <c r="R16" s="65" t="str">
        <f t="shared" si="8"/>
        <v/>
      </c>
    </row>
    <row r="17" spans="1:18" ht="20.100000000000001" customHeight="1">
      <c r="A17" s="25">
        <f>[27]일반사항!$B$4</f>
        <v>44391</v>
      </c>
      <c r="B17" s="58">
        <f>[27]일반사항!$E$27</f>
        <v>6.8949999999999996</v>
      </c>
      <c r="C17" s="51">
        <f>[27]실험기록부!$C$10</f>
        <v>10.965</v>
      </c>
      <c r="D17" s="52">
        <f>[27]실험기록부!$D$10</f>
        <v>6.4810871618719998</v>
      </c>
      <c r="E17" s="53">
        <f>[27]실험기록부!$E$10</f>
        <v>12.800000000000011</v>
      </c>
      <c r="F17" s="48">
        <f>[27]실험기록부!$F$10</f>
        <v>11.84112</v>
      </c>
      <c r="G17" s="48">
        <f>[27]실험기록부!$G$10</f>
        <v>0.44183999999999996</v>
      </c>
      <c r="H17" s="47">
        <f>[27]실험기록부!$H$10</f>
        <v>680</v>
      </c>
      <c r="I17" s="27"/>
      <c r="K17" s="65">
        <f t="shared" si="1"/>
        <v>6.8949999999999996</v>
      </c>
      <c r="L17" s="66">
        <f t="shared" si="2"/>
        <v>10.965</v>
      </c>
      <c r="M17" s="66">
        <f t="shared" si="3"/>
        <v>6.4810871618719998</v>
      </c>
      <c r="N17" s="66">
        <f t="shared" si="4"/>
        <v>12.800000000000011</v>
      </c>
      <c r="O17" s="66">
        <f t="shared" si="5"/>
        <v>11.84112</v>
      </c>
      <c r="P17" s="66">
        <f t="shared" si="6"/>
        <v>0.44183999999999996</v>
      </c>
      <c r="Q17" s="67">
        <f t="shared" si="7"/>
        <v>680</v>
      </c>
      <c r="R17" s="65" t="str">
        <f t="shared" si="8"/>
        <v/>
      </c>
    </row>
    <row r="18" spans="1:18" ht="20.100000000000001" customHeight="1">
      <c r="A18" s="25">
        <f>[29]일반사항!$B$4</f>
        <v>44392</v>
      </c>
      <c r="B18" s="58">
        <f>[29]일반사항!$E$27</f>
        <v>6.9050000000000002</v>
      </c>
      <c r="C18" s="51">
        <f>[29]실험기록부!$C$10</f>
        <v>11.4</v>
      </c>
      <c r="D18" s="52">
        <f>[29]실험기록부!$D$10</f>
        <v>5.3903209097760003</v>
      </c>
      <c r="E18" s="53">
        <f>[29]실험기록부!$E$10</f>
        <v>14.800000000000011</v>
      </c>
      <c r="F18" s="48">
        <f>[29]실험기록부!$F$10</f>
        <v>8.9567999999999994</v>
      </c>
      <c r="G18" s="48">
        <f>[29]실험기록부!$G$10</f>
        <v>0.98519999999999996</v>
      </c>
      <c r="H18" s="47">
        <f>[29]실험기록부!$H$10</f>
        <v>780</v>
      </c>
      <c r="I18" s="27"/>
      <c r="K18" s="65">
        <f t="shared" si="1"/>
        <v>6.9050000000000002</v>
      </c>
      <c r="L18" s="66">
        <f t="shared" si="2"/>
        <v>11.4</v>
      </c>
      <c r="M18" s="66">
        <f t="shared" si="3"/>
        <v>5.3903209097760003</v>
      </c>
      <c r="N18" s="66">
        <f t="shared" si="4"/>
        <v>14.800000000000011</v>
      </c>
      <c r="O18" s="66">
        <f t="shared" si="5"/>
        <v>8.9567999999999994</v>
      </c>
      <c r="P18" s="66">
        <f t="shared" si="6"/>
        <v>0.98519999999999996</v>
      </c>
      <c r="Q18" s="67">
        <f t="shared" si="7"/>
        <v>780</v>
      </c>
      <c r="R18" s="65" t="str">
        <f t="shared" si="8"/>
        <v/>
      </c>
    </row>
    <row r="19" spans="1:18" ht="20.100000000000001" customHeight="1">
      <c r="A19" s="25">
        <f>[31]일반사항!$B$4</f>
        <v>44393</v>
      </c>
      <c r="B19" s="58">
        <f>[31]일반사항!$E$27</f>
        <v>6.92</v>
      </c>
      <c r="C19" s="51">
        <f>[31]실험기록부!$C$10</f>
        <v>9.7050000000000018</v>
      </c>
      <c r="D19" s="52">
        <f>[31]실험기록부!$D$10</f>
        <v>10.724126546999999</v>
      </c>
      <c r="E19" s="53">
        <f>[31]실험기록부!$E$10</f>
        <v>14.399999999999979</v>
      </c>
      <c r="F19" s="48">
        <f>[31]실험기록부!$F$10</f>
        <v>7.6502399999999993</v>
      </c>
      <c r="G19" s="48">
        <f>[31]실험기록부!$G$10</f>
        <v>0.39268800000000004</v>
      </c>
      <c r="H19" s="47">
        <f>[31]실험기록부!$H$10</f>
        <v>500</v>
      </c>
      <c r="I19" s="27"/>
      <c r="K19" s="65">
        <f t="shared" si="1"/>
        <v>6.92</v>
      </c>
      <c r="L19" s="66">
        <f t="shared" si="2"/>
        <v>9.7050000000000018</v>
      </c>
      <c r="M19" s="66">
        <f t="shared" si="3"/>
        <v>10.724126546999999</v>
      </c>
      <c r="N19" s="66">
        <f t="shared" si="4"/>
        <v>14.399999999999979</v>
      </c>
      <c r="O19" s="66">
        <f t="shared" si="5"/>
        <v>7.6502399999999993</v>
      </c>
      <c r="P19" s="66">
        <f t="shared" si="6"/>
        <v>0.39268800000000004</v>
      </c>
      <c r="Q19" s="67">
        <f t="shared" si="7"/>
        <v>500</v>
      </c>
      <c r="R19" s="65" t="str">
        <f t="shared" si="8"/>
        <v/>
      </c>
    </row>
    <row r="20" spans="1:18" ht="20.100000000000001" customHeight="1">
      <c r="A20" s="25">
        <f>[33]일반사항!$B$4</f>
        <v>44394</v>
      </c>
      <c r="B20" s="58">
        <f>[33]일반사항!$E$27</f>
        <v>0</v>
      </c>
      <c r="C20" s="51">
        <f>[33]실험기록부!$C$10</f>
        <v>0</v>
      </c>
      <c r="D20" s="52">
        <f>[33]실험기록부!$D$10</f>
        <v>0</v>
      </c>
      <c r="E20" s="53">
        <f>[33]실험기록부!$E$10</f>
        <v>0</v>
      </c>
      <c r="F20" s="48">
        <f>[33]실험기록부!$F$10</f>
        <v>0</v>
      </c>
      <c r="G20" s="48">
        <f>[33]실험기록부!$G$10</f>
        <v>0</v>
      </c>
      <c r="H20" s="47">
        <f>[33]실험기록부!$H$10</f>
        <v>0</v>
      </c>
      <c r="I20" s="27"/>
      <c r="K20" s="65" t="str">
        <f t="shared" si="1"/>
        <v/>
      </c>
      <c r="L20" s="66" t="str">
        <f t="shared" si="2"/>
        <v/>
      </c>
      <c r="M20" s="66" t="str">
        <f t="shared" si="3"/>
        <v/>
      </c>
      <c r="N20" s="66" t="str">
        <f t="shared" si="4"/>
        <v/>
      </c>
      <c r="O20" s="66" t="str">
        <f t="shared" si="5"/>
        <v/>
      </c>
      <c r="P20" s="66" t="str">
        <f t="shared" si="6"/>
        <v/>
      </c>
      <c r="Q20" s="67" t="str">
        <f t="shared" si="7"/>
        <v/>
      </c>
      <c r="R20" s="65" t="str">
        <f t="shared" si="8"/>
        <v/>
      </c>
    </row>
    <row r="21" spans="1:18" ht="20.100000000000001" customHeight="1">
      <c r="A21" s="25">
        <f>[35]일반사항!$B$4</f>
        <v>44395</v>
      </c>
      <c r="B21" s="58">
        <f>[35]일반사항!$E$27</f>
        <v>0</v>
      </c>
      <c r="C21" s="51">
        <f>[35]실험기록부!$C$10</f>
        <v>0</v>
      </c>
      <c r="D21" s="52">
        <f>[35]실험기록부!$D$10</f>
        <v>0</v>
      </c>
      <c r="E21" s="53">
        <f>[35]실험기록부!$E$10</f>
        <v>0</v>
      </c>
      <c r="F21" s="48">
        <f>[35]실험기록부!$F$10</f>
        <v>0</v>
      </c>
      <c r="G21" s="48">
        <f>[35]실험기록부!$G$10</f>
        <v>0</v>
      </c>
      <c r="H21" s="47">
        <f>[35]실험기록부!$H$10</f>
        <v>0</v>
      </c>
      <c r="I21" s="27"/>
      <c r="K21" s="65" t="str">
        <f t="shared" si="1"/>
        <v/>
      </c>
      <c r="L21" s="66" t="str">
        <f t="shared" si="2"/>
        <v/>
      </c>
      <c r="M21" s="66" t="str">
        <f t="shared" si="3"/>
        <v/>
      </c>
      <c r="N21" s="66" t="str">
        <f t="shared" si="4"/>
        <v/>
      </c>
      <c r="O21" s="66" t="str">
        <f t="shared" si="5"/>
        <v/>
      </c>
      <c r="P21" s="66" t="str">
        <f t="shared" si="6"/>
        <v/>
      </c>
      <c r="Q21" s="67" t="str">
        <f t="shared" si="7"/>
        <v/>
      </c>
      <c r="R21" s="65"/>
    </row>
    <row r="22" spans="1:18" ht="20.100000000000001" customHeight="1">
      <c r="A22" s="25">
        <f>[37]일반사항!$B$4</f>
        <v>44396</v>
      </c>
      <c r="B22" s="58">
        <f>[37]일반사항!$E$27</f>
        <v>7.09</v>
      </c>
      <c r="C22" s="51">
        <f>[37]실험기록부!$C$10</f>
        <v>10.86</v>
      </c>
      <c r="D22" s="52">
        <f>[37]실험기록부!$D$10</f>
        <v>16.563076280242001</v>
      </c>
      <c r="E22" s="53">
        <f>[37]실험기록부!$E$10</f>
        <v>10.399999999999979</v>
      </c>
      <c r="F22" s="48">
        <f>[37]실험기록부!$F$10</f>
        <v>6.3599999999999985</v>
      </c>
      <c r="G22" s="48">
        <f>[37]실험기록부!$G$10</f>
        <v>0.28550400000000004</v>
      </c>
      <c r="H22" s="47">
        <f>[37]실험기록부!$H$10</f>
        <v>620</v>
      </c>
      <c r="I22" s="27"/>
      <c r="K22" s="65">
        <f t="shared" si="1"/>
        <v>7.09</v>
      </c>
      <c r="L22" s="66">
        <f t="shared" si="2"/>
        <v>10.86</v>
      </c>
      <c r="M22" s="66">
        <f t="shared" si="3"/>
        <v>16.563076280242001</v>
      </c>
      <c r="N22" s="66">
        <f t="shared" si="4"/>
        <v>10.399999999999979</v>
      </c>
      <c r="O22" s="66">
        <f t="shared" si="5"/>
        <v>6.3599999999999985</v>
      </c>
      <c r="P22" s="66">
        <f t="shared" si="6"/>
        <v>0.28550400000000004</v>
      </c>
      <c r="Q22" s="67">
        <f t="shared" si="7"/>
        <v>620</v>
      </c>
      <c r="R22" s="65"/>
    </row>
    <row r="23" spans="1:18" ht="20.100000000000001" customHeight="1">
      <c r="A23" s="25">
        <f>[39]일반사항!$B$4</f>
        <v>44397</v>
      </c>
      <c r="B23" s="58">
        <f>[39]일반사항!$E$27</f>
        <v>7.0600000000000005</v>
      </c>
      <c r="C23" s="51">
        <f>[39]실험기록부!$C$10</f>
        <v>11.100000000000001</v>
      </c>
      <c r="D23" s="52">
        <f>[39]실험기록부!$D$10</f>
        <v>14.328682758419999</v>
      </c>
      <c r="E23" s="53">
        <f>[39]실험기록부!$E$10</f>
        <v>12</v>
      </c>
      <c r="F23" s="48">
        <f>[39]실험기록부!$F$10</f>
        <v>6.1113600000000003</v>
      </c>
      <c r="G23" s="48">
        <f>[39]실험기록부!$G$10</f>
        <v>0.48172800000000005</v>
      </c>
      <c r="H23" s="47">
        <f>[39]실험기록부!$H$10</f>
        <v>600</v>
      </c>
      <c r="I23" s="27"/>
      <c r="K23" s="65">
        <f t="shared" si="1"/>
        <v>7.0600000000000005</v>
      </c>
      <c r="L23" s="66">
        <f t="shared" si="2"/>
        <v>11.100000000000001</v>
      </c>
      <c r="M23" s="66">
        <f t="shared" si="3"/>
        <v>14.328682758419999</v>
      </c>
      <c r="N23" s="66">
        <f t="shared" si="4"/>
        <v>12</v>
      </c>
      <c r="O23" s="66">
        <f t="shared" si="5"/>
        <v>6.1113600000000003</v>
      </c>
      <c r="P23" s="66">
        <f t="shared" si="6"/>
        <v>0.48172800000000005</v>
      </c>
      <c r="Q23" s="67">
        <f t="shared" si="7"/>
        <v>600</v>
      </c>
      <c r="R23" s="65"/>
    </row>
    <row r="24" spans="1:18" ht="20.100000000000001" customHeight="1">
      <c r="A24" s="25">
        <f>[41]일반사항!$B$4</f>
        <v>44398</v>
      </c>
      <c r="B24" s="58">
        <f>[41]일반사항!$E$27</f>
        <v>7.0549999999999997</v>
      </c>
      <c r="C24" s="51">
        <f>[41]실험기록부!$C$10</f>
        <v>11.31</v>
      </c>
      <c r="D24" s="52">
        <f>[41]실험기록부!$D$10</f>
        <v>16.880200456398001</v>
      </c>
      <c r="E24" s="53">
        <f>[41]실험기록부!$E$10</f>
        <v>13.199999999999989</v>
      </c>
      <c r="F24" s="48">
        <f>[41]실험기록부!$F$10</f>
        <v>8.7283200000000001</v>
      </c>
      <c r="G24" s="48">
        <f>[41]실험기록부!$G$10</f>
        <v>0.49478399999999995</v>
      </c>
      <c r="H24" s="47">
        <f>[41]실험기록부!$H$10</f>
        <v>850</v>
      </c>
      <c r="I24" s="27"/>
      <c r="K24" s="65">
        <f t="shared" si="1"/>
        <v>7.0549999999999997</v>
      </c>
      <c r="L24" s="66">
        <f t="shared" si="2"/>
        <v>11.31</v>
      </c>
      <c r="M24" s="66">
        <f t="shared" si="3"/>
        <v>16.880200456398001</v>
      </c>
      <c r="N24" s="66">
        <f t="shared" si="4"/>
        <v>13.199999999999989</v>
      </c>
      <c r="O24" s="66">
        <f t="shared" si="5"/>
        <v>8.7283200000000001</v>
      </c>
      <c r="P24" s="66">
        <f t="shared" si="6"/>
        <v>0.49478399999999995</v>
      </c>
      <c r="Q24" s="67">
        <f t="shared" si="7"/>
        <v>850</v>
      </c>
      <c r="R24" s="65"/>
    </row>
    <row r="25" spans="1:18" ht="20.100000000000001" customHeight="1">
      <c r="A25" s="25">
        <f>[43]일반사항!$B$4</f>
        <v>44399</v>
      </c>
      <c r="B25" s="58">
        <f>[43]일반사항!$E$27</f>
        <v>7.0549999999999997</v>
      </c>
      <c r="C25" s="51">
        <f>[43]실험기록부!$C$10</f>
        <v>8.5499999999999989</v>
      </c>
      <c r="D25" s="52">
        <f>[43]실험기록부!$D$10</f>
        <v>18.238332228560001</v>
      </c>
      <c r="E25" s="53">
        <f>[43]실험기록부!$E$10</f>
        <v>14.800000000000011</v>
      </c>
      <c r="F25" s="48">
        <f>[43]실험기록부!$F$10</f>
        <v>8.4782400000000013</v>
      </c>
      <c r="G25" s="48">
        <f>[43]실험기록부!$G$10</f>
        <v>0.49593599999999993</v>
      </c>
      <c r="H25" s="47">
        <f>[43]실험기록부!$H$10</f>
        <v>700</v>
      </c>
      <c r="I25" s="27"/>
      <c r="K25" s="65">
        <f t="shared" si="1"/>
        <v>7.0549999999999997</v>
      </c>
      <c r="L25" s="66">
        <f t="shared" si="2"/>
        <v>8.5499999999999989</v>
      </c>
      <c r="M25" s="66">
        <f t="shared" si="3"/>
        <v>18.238332228560001</v>
      </c>
      <c r="N25" s="66">
        <f t="shared" si="4"/>
        <v>14.800000000000011</v>
      </c>
      <c r="O25" s="66">
        <f t="shared" si="5"/>
        <v>8.4782400000000013</v>
      </c>
      <c r="P25" s="66">
        <f t="shared" si="6"/>
        <v>0.49593599999999993</v>
      </c>
      <c r="Q25" s="67">
        <f t="shared" si="7"/>
        <v>700</v>
      </c>
      <c r="R25" s="65"/>
    </row>
    <row r="26" spans="1:18" ht="20.100000000000001" customHeight="1">
      <c r="A26" s="25">
        <f>[45]일반사항!$B$4</f>
        <v>44400</v>
      </c>
      <c r="B26" s="58">
        <f>[45]일반사항!$E$27</f>
        <v>7.0350000000000001</v>
      </c>
      <c r="C26" s="51">
        <f>[45]실험기록부!$C$10</f>
        <v>9.4499999999999993</v>
      </c>
      <c r="D26" s="52">
        <f>[45]실험기록부!$D$10</f>
        <v>18.979796429492001</v>
      </c>
      <c r="E26" s="53">
        <f>[45]실험기록부!$E$10</f>
        <v>12.799999999999955</v>
      </c>
      <c r="F26" s="48">
        <f>[45]실험기록부!$F$10</f>
        <v>7.3569599999999991</v>
      </c>
      <c r="G26" s="48">
        <f>[45]실험기록부!$G$10</f>
        <v>0.54225599999999996</v>
      </c>
      <c r="H26" s="47">
        <f>[45]실험기록부!$H$10</f>
        <v>690</v>
      </c>
      <c r="I26" s="27"/>
      <c r="K26" s="65">
        <f t="shared" si="1"/>
        <v>7.0350000000000001</v>
      </c>
      <c r="L26" s="66">
        <f t="shared" si="2"/>
        <v>9.4499999999999993</v>
      </c>
      <c r="M26" s="66">
        <f t="shared" si="3"/>
        <v>18.979796429492001</v>
      </c>
      <c r="N26" s="66">
        <f t="shared" si="4"/>
        <v>12.799999999999955</v>
      </c>
      <c r="O26" s="66">
        <f t="shared" si="5"/>
        <v>7.3569599999999991</v>
      </c>
      <c r="P26" s="66">
        <f t="shared" si="6"/>
        <v>0.54225599999999996</v>
      </c>
      <c r="Q26" s="67">
        <f t="shared" si="7"/>
        <v>690</v>
      </c>
      <c r="R26" s="65"/>
    </row>
    <row r="27" spans="1:18" ht="20.100000000000001" customHeight="1">
      <c r="A27" s="25">
        <f>[47]일반사항!$B$4</f>
        <v>44401</v>
      </c>
      <c r="B27" s="58">
        <f>[47]일반사항!$E$27</f>
        <v>0</v>
      </c>
      <c r="C27" s="51">
        <f>[47]실험기록부!$C$10</f>
        <v>0</v>
      </c>
      <c r="D27" s="52">
        <f>[47]실험기록부!$D$10</f>
        <v>0</v>
      </c>
      <c r="E27" s="53">
        <f>[47]실험기록부!$E$10</f>
        <v>0</v>
      </c>
      <c r="F27" s="48">
        <f>[47]실험기록부!$F$10</f>
        <v>0</v>
      </c>
      <c r="G27" s="48">
        <f>[47]실험기록부!$G$10</f>
        <v>0</v>
      </c>
      <c r="H27" s="47">
        <f>[47]실험기록부!$H$10</f>
        <v>0</v>
      </c>
      <c r="I27" s="27"/>
      <c r="K27" s="65" t="str">
        <f t="shared" si="1"/>
        <v/>
      </c>
      <c r="L27" s="66" t="str">
        <f t="shared" si="2"/>
        <v/>
      </c>
      <c r="M27" s="66" t="str">
        <f t="shared" si="3"/>
        <v/>
      </c>
      <c r="N27" s="66" t="str">
        <f t="shared" si="4"/>
        <v/>
      </c>
      <c r="O27" s="66" t="str">
        <f t="shared" si="5"/>
        <v/>
      </c>
      <c r="P27" s="66" t="str">
        <f t="shared" si="6"/>
        <v/>
      </c>
      <c r="Q27" s="67" t="str">
        <f t="shared" si="7"/>
        <v/>
      </c>
      <c r="R27" s="65"/>
    </row>
    <row r="28" spans="1:18" ht="20.100000000000001" customHeight="1">
      <c r="A28" s="25">
        <f>[49]일반사항!$B$4</f>
        <v>44402</v>
      </c>
      <c r="B28" s="58">
        <f>[49]일반사항!$E$27</f>
        <v>0</v>
      </c>
      <c r="C28" s="51">
        <f>[49]실험기록부!$C$10</f>
        <v>0</v>
      </c>
      <c r="D28" s="52">
        <f>[49]실험기록부!$D$10</f>
        <v>0</v>
      </c>
      <c r="E28" s="53">
        <f>[49]실험기록부!$E$10</f>
        <v>0</v>
      </c>
      <c r="F28" s="48">
        <f>[49]실험기록부!$F$10</f>
        <v>0</v>
      </c>
      <c r="G28" s="48">
        <f>[49]실험기록부!$G$10</f>
        <v>0</v>
      </c>
      <c r="H28" s="47">
        <f>[49]실험기록부!$H$10</f>
        <v>0</v>
      </c>
      <c r="I28" s="27"/>
      <c r="J28" s="14"/>
      <c r="K28" s="65" t="str">
        <f t="shared" si="1"/>
        <v/>
      </c>
      <c r="L28" s="66" t="str">
        <f t="shared" si="2"/>
        <v/>
      </c>
      <c r="M28" s="66" t="str">
        <f t="shared" si="3"/>
        <v/>
      </c>
      <c r="N28" s="66" t="str">
        <f t="shared" si="4"/>
        <v/>
      </c>
      <c r="O28" s="66" t="str">
        <f t="shared" si="5"/>
        <v/>
      </c>
      <c r="P28" s="66" t="str">
        <f t="shared" si="6"/>
        <v/>
      </c>
      <c r="Q28" s="67" t="str">
        <f t="shared" si="7"/>
        <v/>
      </c>
      <c r="R28" s="65"/>
    </row>
    <row r="29" spans="1:18" ht="20.100000000000001" customHeight="1">
      <c r="A29" s="25">
        <f>[51]일반사항!$B$4</f>
        <v>44403</v>
      </c>
      <c r="B29" s="58">
        <f>[51]일반사항!$E$27</f>
        <v>7.04</v>
      </c>
      <c r="C29" s="51">
        <f>[51]실험기록부!$C$10</f>
        <v>10.845000000000001</v>
      </c>
      <c r="D29" s="52">
        <f>[51]실험기록부!$D$10</f>
        <v>22.416941711741998</v>
      </c>
      <c r="E29" s="53">
        <f>[51]실험기록부!$E$10</f>
        <v>18</v>
      </c>
      <c r="F29" s="48">
        <f>[51]실험기록부!$F$10</f>
        <v>10.781279999999999</v>
      </c>
      <c r="G29" s="48">
        <f>[51]실험기록부!$G$10</f>
        <v>0.51052799999999998</v>
      </c>
      <c r="H29" s="47">
        <f>[51]실험기록부!$H$10</f>
        <v>770</v>
      </c>
      <c r="I29" s="27"/>
      <c r="K29" s="65">
        <f t="shared" si="1"/>
        <v>7.04</v>
      </c>
      <c r="L29" s="66">
        <f t="shared" si="2"/>
        <v>10.845000000000001</v>
      </c>
      <c r="M29" s="66">
        <f t="shared" si="3"/>
        <v>22.416941711741998</v>
      </c>
      <c r="N29" s="66">
        <f t="shared" si="4"/>
        <v>18</v>
      </c>
      <c r="O29" s="66">
        <f t="shared" si="5"/>
        <v>10.781279999999999</v>
      </c>
      <c r="P29" s="66">
        <f t="shared" si="6"/>
        <v>0.51052799999999998</v>
      </c>
      <c r="Q29" s="67">
        <f t="shared" si="7"/>
        <v>770</v>
      </c>
      <c r="R29" s="65"/>
    </row>
    <row r="30" spans="1:18" ht="20.100000000000001" customHeight="1">
      <c r="A30" s="25">
        <f>[53]일반사항!$B$4</f>
        <v>44404</v>
      </c>
      <c r="B30" s="58">
        <f>[53]일반사항!$E$27</f>
        <v>7.0250000000000004</v>
      </c>
      <c r="C30" s="51">
        <f>[53]실험기록부!$C$10</f>
        <v>11.100000000000001</v>
      </c>
      <c r="D30" s="52">
        <f>[53]실험기록부!$D$10</f>
        <v>22.304623036528</v>
      </c>
      <c r="E30" s="53">
        <f>[53]실험기록부!$E$10</f>
        <v>19.199999999999989</v>
      </c>
      <c r="F30" s="48">
        <f>[53]실험기록부!$F$10</f>
        <v>4.4961599999999997</v>
      </c>
      <c r="G30" s="48">
        <f>[53]실험기록부!$G$10</f>
        <v>0.67521600000000004</v>
      </c>
      <c r="H30" s="47">
        <f>[53]실험기록부!$H$10</f>
        <v>570</v>
      </c>
      <c r="I30" s="27"/>
      <c r="K30" s="65">
        <f t="shared" si="1"/>
        <v>7.0250000000000004</v>
      </c>
      <c r="L30" s="66">
        <f t="shared" si="2"/>
        <v>11.100000000000001</v>
      </c>
      <c r="M30" s="66">
        <f t="shared" si="3"/>
        <v>22.304623036528</v>
      </c>
      <c r="N30" s="66">
        <f t="shared" si="4"/>
        <v>19.199999999999989</v>
      </c>
      <c r="O30" s="66">
        <f t="shared" si="5"/>
        <v>4.4961599999999997</v>
      </c>
      <c r="P30" s="66">
        <f t="shared" si="6"/>
        <v>0.67521600000000004</v>
      </c>
      <c r="Q30" s="67">
        <f t="shared" si="7"/>
        <v>570</v>
      </c>
      <c r="R30" s="65"/>
    </row>
    <row r="31" spans="1:18" ht="20.100000000000001" customHeight="1">
      <c r="A31" s="25">
        <f>[55]일반사항!$B$4</f>
        <v>44405</v>
      </c>
      <c r="B31" s="58">
        <f>[55]일반사항!$E$27</f>
        <v>7.0549999999999997</v>
      </c>
      <c r="C31" s="51">
        <f>[55]실험기록부!$C$10</f>
        <v>11.459999999999999</v>
      </c>
      <c r="D31" s="52">
        <f>[55]실험기록부!$D$10</f>
        <v>24.615739638661999</v>
      </c>
      <c r="E31" s="53">
        <f>[55]실험기록부!$E$10</f>
        <v>18.800000000000011</v>
      </c>
      <c r="F31" s="48">
        <f>[55]실험기록부!$F$10</f>
        <v>7.2753600000000009</v>
      </c>
      <c r="G31" s="48">
        <f>[55]실험기록부!$G$10</f>
        <v>0.5862719999999999</v>
      </c>
      <c r="H31" s="47">
        <f>[55]실험기록부!$H$10</f>
        <v>790</v>
      </c>
      <c r="I31" s="27"/>
      <c r="K31" s="65">
        <f t="shared" si="1"/>
        <v>7.0549999999999997</v>
      </c>
      <c r="L31" s="66">
        <f t="shared" si="2"/>
        <v>11.459999999999999</v>
      </c>
      <c r="M31" s="66">
        <f t="shared" si="3"/>
        <v>24.615739638661999</v>
      </c>
      <c r="N31" s="66">
        <f t="shared" si="4"/>
        <v>18.800000000000011</v>
      </c>
      <c r="O31" s="66">
        <f t="shared" si="5"/>
        <v>7.2753600000000009</v>
      </c>
      <c r="P31" s="66">
        <f t="shared" si="6"/>
        <v>0.5862719999999999</v>
      </c>
      <c r="Q31" s="67">
        <f t="shared" si="7"/>
        <v>790</v>
      </c>
      <c r="R31" s="65"/>
    </row>
    <row r="32" spans="1:18" ht="20.100000000000001" customHeight="1">
      <c r="A32" s="25">
        <f>[57]일반사항!$B$4</f>
        <v>44406</v>
      </c>
      <c r="B32" s="58">
        <f>[57]일반사항!$E$27</f>
        <v>6.9450000000000003</v>
      </c>
      <c r="C32" s="51">
        <f>[57]실험기록부!$C$10</f>
        <v>11.899999999999999</v>
      </c>
      <c r="D32" s="52">
        <f>[57]실험기록부!$D$10</f>
        <v>12.742988542634</v>
      </c>
      <c r="E32" s="53">
        <f>[57]실험기록부!$E$10</f>
        <v>17.599999999999966</v>
      </c>
      <c r="F32" s="48">
        <f>[57]실험기록부!$F$10</f>
        <v>9.39696</v>
      </c>
      <c r="G32" s="48">
        <f>[57]실험기록부!$G$10</f>
        <v>0.63230399999999998</v>
      </c>
      <c r="H32" s="47">
        <f>[57]실험기록부!$H$10</f>
        <v>840</v>
      </c>
      <c r="I32" s="27"/>
      <c r="K32" s="65">
        <f t="shared" si="1"/>
        <v>6.9450000000000003</v>
      </c>
      <c r="L32" s="66">
        <f t="shared" si="2"/>
        <v>11.899999999999999</v>
      </c>
      <c r="M32" s="66">
        <f t="shared" si="3"/>
        <v>12.742988542634</v>
      </c>
      <c r="N32" s="66">
        <f t="shared" si="4"/>
        <v>17.599999999999966</v>
      </c>
      <c r="O32" s="66">
        <f t="shared" si="5"/>
        <v>9.39696</v>
      </c>
      <c r="P32" s="66">
        <f t="shared" si="6"/>
        <v>0.63230399999999998</v>
      </c>
      <c r="Q32" s="67">
        <f t="shared" si="7"/>
        <v>840</v>
      </c>
      <c r="R32" s="65"/>
    </row>
    <row r="33" spans="1:18" ht="20.100000000000001" customHeight="1">
      <c r="A33" s="25">
        <f>[59]일반사항!$B$4</f>
        <v>44407</v>
      </c>
      <c r="B33" s="58">
        <f>[59]일반사항!$E$27</f>
        <v>7.02</v>
      </c>
      <c r="C33" s="51">
        <f>[59]실험기록부!$C$10</f>
        <v>10.620000000000001</v>
      </c>
      <c r="D33" s="52">
        <f>[59]실험기록부!$D$10</f>
        <v>7.2555340487419997</v>
      </c>
      <c r="E33" s="53">
        <f>[59]실험기록부!$E$10</f>
        <v>12.800000000000011</v>
      </c>
      <c r="F33" s="48">
        <f>[59]실험기록부!$F$10</f>
        <v>6.6878399999999987</v>
      </c>
      <c r="G33" s="48">
        <f>[59]실험기록부!$G$10</f>
        <v>0.56063999999999992</v>
      </c>
      <c r="H33" s="47">
        <f>[59]실험기록부!$H$10</f>
        <v>590</v>
      </c>
      <c r="I33" s="27"/>
      <c r="K33" s="65">
        <f t="shared" si="1"/>
        <v>7.02</v>
      </c>
      <c r="L33" s="66">
        <f t="shared" si="2"/>
        <v>10.620000000000001</v>
      </c>
      <c r="M33" s="66">
        <f t="shared" si="3"/>
        <v>7.2555340487419997</v>
      </c>
      <c r="N33" s="66">
        <f t="shared" si="4"/>
        <v>12.800000000000011</v>
      </c>
      <c r="O33" s="66">
        <f t="shared" si="5"/>
        <v>6.6878399999999987</v>
      </c>
      <c r="P33" s="66">
        <f t="shared" si="6"/>
        <v>0.56063999999999992</v>
      </c>
      <c r="Q33" s="67">
        <f t="shared" si="7"/>
        <v>590</v>
      </c>
      <c r="R33" s="65"/>
    </row>
    <row r="34" spans="1:18" ht="20.100000000000001" customHeight="1" thickBot="1">
      <c r="A34" s="28">
        <f>[61]일반사항!$B$4</f>
        <v>44408</v>
      </c>
      <c r="B34" s="59">
        <f>[61]일반사항!$E$27</f>
        <v>0</v>
      </c>
      <c r="C34" s="54">
        <f>[61]실험기록부!$C$10</f>
        <v>0</v>
      </c>
      <c r="D34" s="55">
        <f>[61]실험기록부!$D$10</f>
        <v>0</v>
      </c>
      <c r="E34" s="56">
        <f>[61]실험기록부!$E$10</f>
        <v>0</v>
      </c>
      <c r="F34" s="49">
        <f>[61]실험기록부!$F$10</f>
        <v>0</v>
      </c>
      <c r="G34" s="49">
        <f>[61]실험기록부!$G$10</f>
        <v>0</v>
      </c>
      <c r="H34" s="50">
        <f>[61]실험기록부!$H$10</f>
        <v>0</v>
      </c>
      <c r="I34" s="34"/>
      <c r="K34" s="66"/>
      <c r="L34" s="66"/>
      <c r="M34" s="66"/>
      <c r="N34" s="66"/>
      <c r="O34" s="66"/>
      <c r="P34" s="66"/>
      <c r="Q34" s="66"/>
      <c r="R34" s="66"/>
    </row>
    <row r="35" spans="1:18" ht="20.100000000000001" customHeight="1" thickTop="1">
      <c r="A35" s="15" t="s">
        <v>0</v>
      </c>
      <c r="B35" s="68">
        <f t="shared" ref="B35:H35" si="9">MAX(B4:B33)</f>
        <v>7.09</v>
      </c>
      <c r="C35" s="69">
        <f t="shared" si="9"/>
        <v>11.899999999999999</v>
      </c>
      <c r="D35" s="69">
        <f t="shared" si="9"/>
        <v>24.615739638661999</v>
      </c>
      <c r="E35" s="69">
        <f t="shared" si="9"/>
        <v>19.199999999999989</v>
      </c>
      <c r="F35" s="70">
        <f t="shared" si="9"/>
        <v>11.84112</v>
      </c>
      <c r="G35" s="70">
        <f t="shared" si="9"/>
        <v>0.98519999999999996</v>
      </c>
      <c r="H35" s="71">
        <f t="shared" si="9"/>
        <v>1000</v>
      </c>
      <c r="I35" s="87"/>
    </row>
    <row r="36" spans="1:18" ht="20.100000000000001" customHeight="1">
      <c r="A36" s="1" t="s">
        <v>1</v>
      </c>
      <c r="B36" s="72">
        <f t="shared" ref="B36:H36" si="10">MIN(K4:K33)</f>
        <v>6.8449999999999998</v>
      </c>
      <c r="C36" s="73">
        <f t="shared" si="10"/>
        <v>7.5</v>
      </c>
      <c r="D36" s="73">
        <f t="shared" si="10"/>
        <v>4.7620858303300002</v>
      </c>
      <c r="E36" s="73">
        <f t="shared" si="10"/>
        <v>5.2000000000000455</v>
      </c>
      <c r="F36" s="74">
        <f t="shared" si="10"/>
        <v>4.3991999999999996</v>
      </c>
      <c r="G36" s="74">
        <f t="shared" si="10"/>
        <v>0.13622399999999998</v>
      </c>
      <c r="H36" s="47">
        <f t="shared" si="10"/>
        <v>500</v>
      </c>
      <c r="I36" s="79"/>
    </row>
    <row r="37" spans="1:18" ht="20.100000000000001" customHeight="1" thickBot="1">
      <c r="A37" s="2" t="s">
        <v>2</v>
      </c>
      <c r="B37" s="75">
        <f t="shared" ref="B37:H37" si="11">AVERAGEIF(B4:B33,"&gt;0")</f>
        <v>6.9613636363636369</v>
      </c>
      <c r="C37" s="76">
        <f t="shared" si="11"/>
        <v>9.6718181818181836</v>
      </c>
      <c r="D37" s="76">
        <f t="shared" si="11"/>
        <v>13.945630514484726</v>
      </c>
      <c r="E37" s="76">
        <f t="shared" si="11"/>
        <v>12.745454545454542</v>
      </c>
      <c r="F37" s="77">
        <f t="shared" si="11"/>
        <v>7.7144727272727271</v>
      </c>
      <c r="G37" s="77">
        <f t="shared" si="11"/>
        <v>0.4853061818181818</v>
      </c>
      <c r="H37" s="78">
        <f t="shared" si="11"/>
        <v>731.81818181818187</v>
      </c>
      <c r="I37" s="80"/>
      <c r="J37" s="61"/>
      <c r="K37" s="61"/>
    </row>
    <row r="38" spans="1:18">
      <c r="H38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view="pageBreakPreview" zoomScaleSheetLayoutView="100" workbookViewId="0">
      <pane xSplit="1" ySplit="3" topLeftCell="B13" activePane="bottomRight" state="frozen"/>
      <selection activeCell="G34" sqref="G34"/>
      <selection pane="topRight" activeCell="G34" sqref="G34"/>
      <selection pane="bottomLeft" activeCell="G34" sqref="G34"/>
      <selection pane="bottomRight" activeCell="J35" sqref="J35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22" t="s">
        <v>25</v>
      </c>
      <c r="B1" s="122"/>
      <c r="C1" s="122"/>
      <c r="D1" s="122"/>
      <c r="E1" s="122"/>
      <c r="F1" s="122"/>
      <c r="G1" s="122"/>
      <c r="H1" s="122"/>
      <c r="I1" s="122"/>
    </row>
    <row r="2" spans="1:10" ht="20.100000000000001" customHeight="1">
      <c r="A2" s="117" t="s">
        <v>14</v>
      </c>
      <c r="B2" s="119" t="s">
        <v>10</v>
      </c>
      <c r="C2" s="120"/>
      <c r="D2" s="120"/>
      <c r="E2" s="120"/>
      <c r="F2" s="120"/>
      <c r="G2" s="120"/>
      <c r="H2" s="120"/>
      <c r="I2" s="121"/>
    </row>
    <row r="3" spans="1:10" ht="24.95" customHeight="1" thickBot="1">
      <c r="A3" s="118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[1]일반사항!$B$4</f>
        <v>44378</v>
      </c>
      <c r="B4" s="88">
        <f>[1]일반사항!$E$28</f>
        <v>7.1</v>
      </c>
      <c r="C4" s="89">
        <f>[1]실험기록부!$C$11</f>
        <v>1.1800000000000006</v>
      </c>
      <c r="D4" s="90">
        <f>[1]실험기록부!$D$11</f>
        <v>4.6042845801560004</v>
      </c>
      <c r="E4" s="22">
        <f>[1]실험기록부!$E$11</f>
        <v>2.8000000000000114</v>
      </c>
      <c r="F4" s="23">
        <f>[1]실험기록부!$F$11</f>
        <v>2.8776000000000002</v>
      </c>
      <c r="G4" s="23">
        <f>[1]실험기록부!$G$11</f>
        <v>6.2544000000000002E-2</v>
      </c>
      <c r="H4" s="24">
        <f>[1]실험기록부!$H$11</f>
        <v>3</v>
      </c>
      <c r="I4" s="26">
        <f>[2]커버3!$G$13</f>
        <v>427</v>
      </c>
      <c r="J4" s="96">
        <f>[1]일반사항!$D$28</f>
        <v>23.05</v>
      </c>
    </row>
    <row r="5" spans="1:10" ht="20.100000000000001" customHeight="1">
      <c r="A5" s="25">
        <f>[3]일반사항!$B$4</f>
        <v>44379</v>
      </c>
      <c r="B5" s="16">
        <f>[3]일반사항!$E$28</f>
        <v>7.0149999999999997</v>
      </c>
      <c r="C5" s="45">
        <f>[3]실험기록부!$C$11</f>
        <v>1.080000000000001</v>
      </c>
      <c r="D5" s="17">
        <f>[3]실험기록부!$D$11</f>
        <v>5.2412500866079998</v>
      </c>
      <c r="E5" s="18">
        <f>[3]실험기록부!$E$11</f>
        <v>2</v>
      </c>
      <c r="F5" s="19">
        <f>[3]실험기록부!$F$11</f>
        <v>7.7054400000000012</v>
      </c>
      <c r="G5" s="19">
        <f>[3]실험기록부!$G$11</f>
        <v>5.6975999999999999E-2</v>
      </c>
      <c r="H5" s="20">
        <f>[3]실험기록부!$H$11</f>
        <v>4</v>
      </c>
      <c r="I5" s="27">
        <f>[4]커버3!$G$13</f>
        <v>383</v>
      </c>
      <c r="J5" s="96">
        <f>[3]일반사항!$D$28</f>
        <v>22.5</v>
      </c>
    </row>
    <row r="6" spans="1:10" ht="20.100000000000001" customHeight="1">
      <c r="A6" s="25">
        <f>[5]일반사항!$B$4</f>
        <v>44380</v>
      </c>
      <c r="B6" s="16">
        <f>[5]일반사항!$E$28</f>
        <v>7.0049999999999999</v>
      </c>
      <c r="C6" s="45">
        <f>[5]실험기록부!$C$11</f>
        <v>1.0500000000000007</v>
      </c>
      <c r="D6" s="17">
        <f>[5]실험기록부!$D$11</f>
        <v>3.7356676993120002</v>
      </c>
      <c r="E6" s="18">
        <f>[5]실험기록부!$E$11</f>
        <v>1.6</v>
      </c>
      <c r="F6" s="19">
        <f>[5]실험기록부!$F$11</f>
        <v>4.3360000000000003</v>
      </c>
      <c r="G6" s="19">
        <f>[5]실험기록부!$G$11</f>
        <v>0.05</v>
      </c>
      <c r="H6" s="20">
        <f>[5]실험기록부!$H$11</f>
        <v>8</v>
      </c>
      <c r="I6" s="27">
        <f>[6]커버3!$G$13</f>
        <v>716</v>
      </c>
      <c r="J6" s="96">
        <f>[5]일반사항!$D$28</f>
        <v>21.85</v>
      </c>
    </row>
    <row r="7" spans="1:10" ht="20.100000000000001" customHeight="1">
      <c r="A7" s="25">
        <f>[7]일반사항!$B$4</f>
        <v>44381</v>
      </c>
      <c r="B7" s="16">
        <f>[7]일반사항!$E$28</f>
        <v>6.98</v>
      </c>
      <c r="C7" s="45">
        <f>[7]실험기록부!$C$11</f>
        <v>1.8699999999999992</v>
      </c>
      <c r="D7" s="17">
        <f>[7]실험기록부!$D$11</f>
        <v>3.5333716369000001</v>
      </c>
      <c r="E7" s="18">
        <f>[7]실험기록부!$E$11</f>
        <v>1.6</v>
      </c>
      <c r="F7" s="19">
        <f>[7]실험기록부!$F$11</f>
        <v>4.3810000000000002</v>
      </c>
      <c r="G7" s="19">
        <f>[7]실험기록부!$G$11</f>
        <v>0.06</v>
      </c>
      <c r="H7" s="20">
        <f>[7]실험기록부!$H$11</f>
        <v>5</v>
      </c>
      <c r="I7" s="27">
        <f>[8]커버3!$G$13</f>
        <v>712</v>
      </c>
      <c r="J7" s="96">
        <f>[7]일반사항!$D$28</f>
        <v>21.75</v>
      </c>
    </row>
    <row r="8" spans="1:10" ht="20.100000000000001" customHeight="1">
      <c r="A8" s="25">
        <f>[9]일반사항!$B$4</f>
        <v>44382</v>
      </c>
      <c r="B8" s="16">
        <f>[9]일반사항!$E$28</f>
        <v>7.1</v>
      </c>
      <c r="C8" s="45">
        <f>[9]실험기록부!$C$11</f>
        <v>1.1600000000000001</v>
      </c>
      <c r="D8" s="17">
        <f>[9]실험기록부!$D$11</f>
        <v>3.4784857440039998</v>
      </c>
      <c r="E8" s="18">
        <f>[9]실험기록부!$E$11</f>
        <v>2.8000000000000114</v>
      </c>
      <c r="F8" s="19">
        <f>[9]실험기록부!$F$11</f>
        <v>3.6955199999999997</v>
      </c>
      <c r="G8" s="19">
        <f>[9]실험기록부!$G$11</f>
        <v>3.0959999999999998E-2</v>
      </c>
      <c r="H8" s="20">
        <f>[9]실험기록부!$H$11</f>
        <v>4.5</v>
      </c>
      <c r="I8" s="27">
        <f>[10]커버3!$G$13</f>
        <v>790</v>
      </c>
      <c r="J8" s="96">
        <f>[9]일반사항!$D$28</f>
        <v>23.15</v>
      </c>
    </row>
    <row r="9" spans="1:10" ht="20.100000000000001" customHeight="1">
      <c r="A9" s="25">
        <f>[11]일반사항!$B$4</f>
        <v>44383</v>
      </c>
      <c r="B9" s="16">
        <f>[11]일반사항!$E$28</f>
        <v>7.15</v>
      </c>
      <c r="C9" s="45">
        <f>[11]실험기록부!$C$11</f>
        <v>1.1300000000000008</v>
      </c>
      <c r="D9" s="17">
        <f>[11]실험기록부!$D$11</f>
        <v>5.4977651769240001</v>
      </c>
      <c r="E9" s="18">
        <f>[11]실험기록부!$E$11</f>
        <v>2.4000000000000052</v>
      </c>
      <c r="F9" s="19">
        <f>[11]실험기록부!$F$11</f>
        <v>5.5382400000000001</v>
      </c>
      <c r="G9" s="19">
        <f>[11]실험기록부!$G$11</f>
        <v>7.891200000000001E-2</v>
      </c>
      <c r="H9" s="20">
        <f>[11]실험기록부!$H$11</f>
        <v>3.5</v>
      </c>
      <c r="I9" s="27">
        <f>[12]커버3!$G$13</f>
        <v>1066</v>
      </c>
      <c r="J9" s="96">
        <f>[11]일반사항!$D$28</f>
        <v>23.35</v>
      </c>
    </row>
    <row r="10" spans="1:10" ht="20.100000000000001" customHeight="1">
      <c r="A10" s="25">
        <f>[13]일반사항!$B$4</f>
        <v>44384</v>
      </c>
      <c r="B10" s="16">
        <f>[13]일반사항!$E$28</f>
        <v>7.0149999999999997</v>
      </c>
      <c r="C10" s="45">
        <f>[13]실험기록부!$C$11</f>
        <v>1.0999999999999988</v>
      </c>
      <c r="D10" s="17">
        <f>[13]실험기록부!$D$11</f>
        <v>4.2307159937919998</v>
      </c>
      <c r="E10" s="18">
        <f>[13]실험기록부!$E$11</f>
        <v>2.8000000000000114</v>
      </c>
      <c r="F10" s="19">
        <f>[13]실험기록부!$F$11</f>
        <v>5.32416</v>
      </c>
      <c r="G10" s="19">
        <f>[13]실험기록부!$G$11</f>
        <v>7.1663999999999992E-2</v>
      </c>
      <c r="H10" s="20">
        <f>[13]실험기록부!$H$11</f>
        <v>4</v>
      </c>
      <c r="I10" s="27">
        <f>[14]커버3!$G$13</f>
        <v>1127</v>
      </c>
      <c r="J10" s="96">
        <f>[13]일반사항!$D$28</f>
        <v>23.5</v>
      </c>
    </row>
    <row r="11" spans="1:10" ht="20.100000000000001" customHeight="1">
      <c r="A11" s="25">
        <f>[15]일반사항!$B$4</f>
        <v>44385</v>
      </c>
      <c r="B11" s="16">
        <f>[15]일반사항!$E$28</f>
        <v>7.0250000000000004</v>
      </c>
      <c r="C11" s="45">
        <f>[15]실험기록부!$C$11</f>
        <v>1.7800000000000011</v>
      </c>
      <c r="D11" s="17">
        <f>[15]실험기록부!$D$11</f>
        <v>4.9326300926000002</v>
      </c>
      <c r="E11" s="18">
        <f>[15]실험기록부!$E$11</f>
        <v>1.8000000000000114</v>
      </c>
      <c r="F11" s="19">
        <f>[15]실험기록부!$F$11</f>
        <v>4.4740799999999998</v>
      </c>
      <c r="G11" s="19">
        <f>[15]실험기록부!$G$11</f>
        <v>8.5487999999999995E-2</v>
      </c>
      <c r="H11" s="20">
        <f>[15]실험기록부!$H$11</f>
        <v>3.5</v>
      </c>
      <c r="I11" s="27">
        <f>[16]커버3!$G$13</f>
        <v>1142</v>
      </c>
      <c r="J11" s="96">
        <f>[15]일반사항!$D$28</f>
        <v>23.6</v>
      </c>
    </row>
    <row r="12" spans="1:10" ht="20.100000000000001" customHeight="1">
      <c r="A12" s="25">
        <f>[17]일반사항!$B$4</f>
        <v>44386</v>
      </c>
      <c r="B12" s="16">
        <f>[17]일반사항!$E$28</f>
        <v>7.0350000000000001</v>
      </c>
      <c r="C12" s="45">
        <f>[17]실험기록부!$C$11</f>
        <v>1.0099999999999998</v>
      </c>
      <c r="D12" s="17">
        <f>[17]실험기록부!$D$11</f>
        <v>4.9436728214560004</v>
      </c>
      <c r="E12" s="18">
        <f>[17]실험기록부!$E$11</f>
        <v>2.6000000000000227</v>
      </c>
      <c r="F12" s="19">
        <f>[17]실험기록부!$F$11</f>
        <v>4.4615999999999989</v>
      </c>
      <c r="G12" s="19">
        <f>[17]실험기록부!$G$11</f>
        <v>8.1264000000000003E-2</v>
      </c>
      <c r="H12" s="20">
        <f>[17]실험기록부!$H$11</f>
        <v>3</v>
      </c>
      <c r="I12" s="27">
        <f>[18]커버3!$G$13</f>
        <v>1128</v>
      </c>
      <c r="J12" s="96">
        <f>[17]일반사항!$D$28</f>
        <v>23.5</v>
      </c>
    </row>
    <row r="13" spans="1:10" ht="20.100000000000001" customHeight="1">
      <c r="A13" s="25">
        <f>[19]일반사항!$B$4</f>
        <v>44387</v>
      </c>
      <c r="B13" s="16">
        <f>[19]일반사항!$E$28</f>
        <v>7.0049999999999999</v>
      </c>
      <c r="C13" s="45">
        <f>[19]실험기록부!$C$11</f>
        <v>1.4200000000000008</v>
      </c>
      <c r="D13" s="17">
        <f>[19]실험기록부!$D$11</f>
        <v>5.3674775410600004</v>
      </c>
      <c r="E13" s="18">
        <f>[19]실험기록부!$E$11</f>
        <v>1.7</v>
      </c>
      <c r="F13" s="19">
        <f>[19]실험기록부!$F$11</f>
        <v>5.867</v>
      </c>
      <c r="G13" s="19">
        <f>[19]실험기록부!$G$11</f>
        <v>0.11</v>
      </c>
      <c r="H13" s="20">
        <f>[19]실험기록부!$H$11</f>
        <v>2.5</v>
      </c>
      <c r="I13" s="27">
        <f>[20]커버3!$G$13</f>
        <v>1022</v>
      </c>
      <c r="J13" s="96">
        <f>[19]일반사항!$D$28</f>
        <v>23.45</v>
      </c>
    </row>
    <row r="14" spans="1:10" ht="20.100000000000001" customHeight="1">
      <c r="A14" s="25">
        <f>[21]일반사항!$B$4</f>
        <v>44388</v>
      </c>
      <c r="B14" s="16">
        <f>[21]일반사항!$E$28</f>
        <v>7.0149999999999997</v>
      </c>
      <c r="C14" s="45">
        <f>[21]실험기록부!$C$11</f>
        <v>1.4399999999999995</v>
      </c>
      <c r="D14" s="17">
        <f>[21]실험기록부!$D$11</f>
        <v>5.3413576121680002</v>
      </c>
      <c r="E14" s="18">
        <f>[21]실험기록부!$E$11</f>
        <v>1.8</v>
      </c>
      <c r="F14" s="19">
        <f>[21]실험기록부!$F$11</f>
        <v>5.133</v>
      </c>
      <c r="G14" s="19">
        <f>[21]실험기록부!$G$11</f>
        <v>0.12</v>
      </c>
      <c r="H14" s="20">
        <f>[21]실험기록부!$H$11</f>
        <v>4.5</v>
      </c>
      <c r="I14" s="27">
        <f>[22]커버3!$G$13</f>
        <v>1009</v>
      </c>
      <c r="J14" s="96">
        <f>[21]일반사항!$D$28</f>
        <v>23.65</v>
      </c>
    </row>
    <row r="15" spans="1:10" ht="20.100000000000001" customHeight="1">
      <c r="A15" s="25">
        <f>[23]일반사항!$B$4</f>
        <v>44389</v>
      </c>
      <c r="B15" s="16">
        <f>[23]일반사항!$E$28</f>
        <v>7.0150000000000006</v>
      </c>
      <c r="C15" s="45">
        <f>[23]실험기록부!$C$11</f>
        <v>1.5599999999999996</v>
      </c>
      <c r="D15" s="17">
        <f>[23]실험기록부!$D$11</f>
        <v>5.8147729472679996</v>
      </c>
      <c r="E15" s="18">
        <f>[23]실험기록부!$E$11</f>
        <v>2</v>
      </c>
      <c r="F15" s="19">
        <f>[23]실험기록부!$F$11</f>
        <v>6.4608000000000008</v>
      </c>
      <c r="G15" s="19">
        <f>[23]실험기록부!$G$11</f>
        <v>8.2512000000000002E-2</v>
      </c>
      <c r="H15" s="20">
        <f>[23]실험기록부!$H$11</f>
        <v>5</v>
      </c>
      <c r="I15" s="27">
        <f>[24]커버3!$G$13</f>
        <v>711</v>
      </c>
      <c r="J15" s="96">
        <f>[23]일반사항!$D$28</f>
        <v>23.6</v>
      </c>
    </row>
    <row r="16" spans="1:10" ht="20.100000000000001" customHeight="1">
      <c r="A16" s="25">
        <f>[25]일반사항!$B$4</f>
        <v>44390</v>
      </c>
      <c r="B16" s="16">
        <f>[25]일반사항!$E$28</f>
        <v>6.8449999999999998</v>
      </c>
      <c r="C16" s="45">
        <f>[25]실험기록부!$C$11</f>
        <v>1.75</v>
      </c>
      <c r="D16" s="17">
        <f>[25]실험기록부!$D$11</f>
        <v>4.17596875015</v>
      </c>
      <c r="E16" s="18">
        <f>[25]실험기록부!$E$11</f>
        <v>2.2000000000000175</v>
      </c>
      <c r="F16" s="19">
        <f>[25]실험기록부!$F$11</f>
        <v>6.0321600000000002</v>
      </c>
      <c r="G16" s="19">
        <f>[25]실험기록부!$G$11</f>
        <v>4.8287999999999991E-2</v>
      </c>
      <c r="H16" s="20">
        <f>[25]실험기록부!$H$11</f>
        <v>9.5</v>
      </c>
      <c r="I16" s="27">
        <f>[26]커버3!$G$13</f>
        <v>820</v>
      </c>
      <c r="J16" s="96">
        <f>[25]일반사항!$D$28</f>
        <v>23.85</v>
      </c>
    </row>
    <row r="17" spans="1:10" ht="20.100000000000001" customHeight="1">
      <c r="A17" s="25">
        <f>[27]일반사항!$B$4</f>
        <v>44391</v>
      </c>
      <c r="B17" s="16">
        <f>[27]일반사항!$E$28</f>
        <v>6.82</v>
      </c>
      <c r="C17" s="45">
        <f>[27]실험기록부!$C$11</f>
        <v>1.2399999999999993</v>
      </c>
      <c r="D17" s="17">
        <f>[27]실험기록부!$D$11</f>
        <v>6.6266075675760003</v>
      </c>
      <c r="E17" s="18">
        <f>[27]실험기록부!$E$11</f>
        <v>2.6000000000000227</v>
      </c>
      <c r="F17" s="19">
        <f>[27]실험기록부!$F$11</f>
        <v>6.5659200000000002</v>
      </c>
      <c r="G17" s="19">
        <f>[27]실험기록부!$G$11</f>
        <v>5.7839999999999989E-2</v>
      </c>
      <c r="H17" s="20">
        <f>[27]실험기록부!$H$11</f>
        <v>5.5</v>
      </c>
      <c r="I17" s="27">
        <f>[28]커버3!$G$13</f>
        <v>854</v>
      </c>
      <c r="J17" s="96">
        <f>[27]일반사항!$D$28</f>
        <v>23.65</v>
      </c>
    </row>
    <row r="18" spans="1:10" ht="20.100000000000001" customHeight="1">
      <c r="A18" s="25">
        <f>[29]일반사항!$B$4</f>
        <v>44392</v>
      </c>
      <c r="B18" s="16">
        <f>[29]일반사항!$E$28</f>
        <v>6.84</v>
      </c>
      <c r="C18" s="45">
        <f>[29]실험기록부!$C$11</f>
        <v>1.62</v>
      </c>
      <c r="D18" s="17">
        <f>[29]실험기록부!$D$11</f>
        <v>7.0782955295079999</v>
      </c>
      <c r="E18" s="18">
        <f>[29]실험기록부!$E$11</f>
        <v>1.8000000000000114</v>
      </c>
      <c r="F18" s="19">
        <f>[29]실험기록부!$F$11</f>
        <v>5.1787200000000002</v>
      </c>
      <c r="G18" s="19">
        <f>[29]실험기록부!$G$11</f>
        <v>3.4992000000000002E-2</v>
      </c>
      <c r="H18" s="20">
        <f>[29]실험기록부!$H$11</f>
        <v>8.5</v>
      </c>
      <c r="I18" s="27">
        <f>[30]커버3!$G$13</f>
        <v>596</v>
      </c>
      <c r="J18" s="96">
        <f>[29]일반사항!$D$28</f>
        <v>12.98</v>
      </c>
    </row>
    <row r="19" spans="1:10" ht="20.100000000000001" customHeight="1">
      <c r="A19" s="25">
        <f>[31]일반사항!$B$4</f>
        <v>44393</v>
      </c>
      <c r="B19" s="16">
        <f>[31]일반사항!$E$28</f>
        <v>6.8599999999999994</v>
      </c>
      <c r="C19" s="45">
        <f>[31]실험기록부!$C$11</f>
        <v>1.4999999999999991</v>
      </c>
      <c r="D19" s="17">
        <f>[31]실험기록부!$D$11</f>
        <v>4.1100963945700002</v>
      </c>
      <c r="E19" s="18">
        <f>[31]실험기록부!$E$11</f>
        <v>2</v>
      </c>
      <c r="F19" s="19">
        <f>[31]실험기록부!$F$11</f>
        <v>4.4932799999999995</v>
      </c>
      <c r="G19" s="19">
        <f>[31]실험기록부!$G$11</f>
        <v>7.6080000000000009E-2</v>
      </c>
      <c r="H19" s="20">
        <f>[31]실험기록부!$H$11</f>
        <v>9</v>
      </c>
      <c r="I19" s="27">
        <f>[32]커버3!$G$13</f>
        <v>690</v>
      </c>
      <c r="J19" s="96">
        <f>[31]일반사항!$D$28</f>
        <v>23.55</v>
      </c>
    </row>
    <row r="20" spans="1:10" ht="20.100000000000001" customHeight="1">
      <c r="A20" s="25">
        <f>[33]일반사항!$B$4</f>
        <v>44394</v>
      </c>
      <c r="B20" s="16">
        <f>[33]일반사항!$E$28</f>
        <v>7</v>
      </c>
      <c r="C20" s="45">
        <f>[33]실험기록부!$C$11</f>
        <v>1.1299999999999999</v>
      </c>
      <c r="D20" s="17">
        <f>[33]실험기록부!$D$11</f>
        <v>5.2914537225879998</v>
      </c>
      <c r="E20" s="18">
        <f>[33]실험기록부!$E$11</f>
        <v>1.6</v>
      </c>
      <c r="F20" s="19">
        <f>[33]실험기록부!$F$11</f>
        <v>4.8380000000000001</v>
      </c>
      <c r="G20" s="19">
        <f>[33]실험기록부!$G$11</f>
        <v>7.0999999999999994E-2</v>
      </c>
      <c r="H20" s="20">
        <f>[33]실험기록부!$H$11</f>
        <v>9</v>
      </c>
      <c r="I20" s="27">
        <f>[34]커버3!$G$13</f>
        <v>608</v>
      </c>
      <c r="J20" s="96">
        <f>[33]일반사항!$D$28</f>
        <v>23.75</v>
      </c>
    </row>
    <row r="21" spans="1:10" ht="20.100000000000001" customHeight="1">
      <c r="A21" s="25">
        <f>[35]일반사항!$B$4</f>
        <v>44395</v>
      </c>
      <c r="B21" s="16">
        <f>[35]일반사항!$E$28</f>
        <v>7.0149999999999997</v>
      </c>
      <c r="C21" s="45">
        <f>[35]실험기록부!$C$11</f>
        <v>1.5700000000000003</v>
      </c>
      <c r="D21" s="17">
        <f>[35]실험기록부!$D$11</f>
        <v>5.2904525414380004</v>
      </c>
      <c r="E21" s="18">
        <f>[35]실험기록부!$E$11</f>
        <v>1.6</v>
      </c>
      <c r="F21" s="19">
        <f>[35]실험기록부!$F$11</f>
        <v>4.585</v>
      </c>
      <c r="G21" s="19">
        <f>[35]실험기록부!$G$11</f>
        <v>7.0000000000000007E-2</v>
      </c>
      <c r="H21" s="20">
        <f>[35]실험기록부!$H$11</f>
        <v>11</v>
      </c>
      <c r="I21" s="27">
        <f>[36]커버3!$G$13</f>
        <v>568</v>
      </c>
      <c r="J21" s="96">
        <f>[35]일반사항!$D$28</f>
        <v>23.65</v>
      </c>
    </row>
    <row r="22" spans="1:10" ht="20.100000000000001" customHeight="1">
      <c r="A22" s="25">
        <f>[37]일반사항!$B$4</f>
        <v>44396</v>
      </c>
      <c r="B22" s="16">
        <f>[37]일반사항!$E$28</f>
        <v>7.0149999999999997</v>
      </c>
      <c r="C22" s="45">
        <f>[37]실험기록부!$C$11</f>
        <v>1.2699999999999996</v>
      </c>
      <c r="D22" s="17">
        <f>[37]실험기록부!$D$11</f>
        <v>5.1473637314799996</v>
      </c>
      <c r="E22" s="18">
        <f>[37]실험기록부!$E$11</f>
        <v>1.5999999999999943</v>
      </c>
      <c r="F22" s="19">
        <f>[37]실험기록부!$F$11</f>
        <v>4.7976000000000001</v>
      </c>
      <c r="G22" s="19">
        <f>[37]실험기록부!$G$11</f>
        <v>7.0847999999999994E-2</v>
      </c>
      <c r="H22" s="20">
        <f>[37]실험기록부!$H$11</f>
        <v>5.5</v>
      </c>
      <c r="I22" s="27">
        <f>[38]커버3!$G$13</f>
        <v>592</v>
      </c>
      <c r="J22" s="96">
        <f>[37]일반사항!$D$28</f>
        <v>21.5</v>
      </c>
    </row>
    <row r="23" spans="1:10" ht="20.100000000000001" customHeight="1">
      <c r="A23" s="25">
        <f>[39]일반사항!$B$4</f>
        <v>44397</v>
      </c>
      <c r="B23" s="16">
        <f>[39]일반사항!$E$28</f>
        <v>6.9950000000000001</v>
      </c>
      <c r="C23" s="45">
        <f>[39]실험기록부!$C$11</f>
        <v>1.75</v>
      </c>
      <c r="D23" s="17">
        <f>[39]실험기록부!$D$11</f>
        <v>3.9261349396199998</v>
      </c>
      <c r="E23" s="18">
        <f>[39]실험기록부!$E$11</f>
        <v>1.4000000000000057</v>
      </c>
      <c r="F23" s="19">
        <f>[39]실험기록부!$F$11</f>
        <v>5.6673600000000004</v>
      </c>
      <c r="G23" s="19">
        <f>[39]실험기록부!$G$11</f>
        <v>4.2431999999999997E-2</v>
      </c>
      <c r="H23" s="20">
        <f>[39]실험기록부!$H$11</f>
        <v>8.5</v>
      </c>
      <c r="I23" s="27">
        <f>[40]커버3!$G$13</f>
        <v>587</v>
      </c>
      <c r="J23" s="96">
        <f>[39]일반사항!$D$28</f>
        <v>23.75</v>
      </c>
    </row>
    <row r="24" spans="1:10" ht="20.100000000000001" customHeight="1">
      <c r="A24" s="25">
        <f>[41]일반사항!$B$4</f>
        <v>44398</v>
      </c>
      <c r="B24" s="16">
        <f>[41]일반사항!$E$28</f>
        <v>7.0049999999999999</v>
      </c>
      <c r="C24" s="45">
        <f>[41]실험기록부!$C$11</f>
        <v>1.1399999999999997</v>
      </c>
      <c r="D24" s="17">
        <f>[41]실험기록부!$D$11</f>
        <v>5.4252410231520001</v>
      </c>
      <c r="E24" s="18">
        <f>[41]실험기록부!$E$11</f>
        <v>2.2000000000000175</v>
      </c>
      <c r="F24" s="19">
        <f>[41]실험기록부!$F$11</f>
        <v>6.5342400000000014</v>
      </c>
      <c r="G24" s="19">
        <f>[41]실험기록부!$G$11</f>
        <v>4.7567999999999992E-2</v>
      </c>
      <c r="H24" s="20">
        <f>[41]실험기록부!$H$11</f>
        <v>5.5</v>
      </c>
      <c r="I24" s="27">
        <f>[42]커버3!$G$13</f>
        <v>545</v>
      </c>
      <c r="J24" s="96">
        <f>[41]일반사항!$D$28</f>
        <v>25.45</v>
      </c>
    </row>
    <row r="25" spans="1:10" ht="20.100000000000001" customHeight="1">
      <c r="A25" s="25">
        <f>[43]일반사항!$B$4</f>
        <v>44399</v>
      </c>
      <c r="B25" s="16">
        <f>[43]일반사항!$E$28</f>
        <v>7.0149999999999997</v>
      </c>
      <c r="C25" s="45">
        <f>[43]실험기록부!$C$11</f>
        <v>1.5</v>
      </c>
      <c r="D25" s="17">
        <f>[43]실험기록부!$D$11</f>
        <v>5.6859901659599998</v>
      </c>
      <c r="E25" s="18">
        <f>[43]실험기록부!$E$11</f>
        <v>2.4000000000000052</v>
      </c>
      <c r="F25" s="19">
        <f>[43]실험기록부!$F$11</f>
        <v>6.3873599999999993</v>
      </c>
      <c r="G25" s="19">
        <f>[43]실험기록부!$G$11</f>
        <v>8.1264000000000003E-2</v>
      </c>
      <c r="H25" s="20">
        <f>[43]실험기록부!$H$11</f>
        <v>1.5</v>
      </c>
      <c r="I25" s="27">
        <f>[44]커버3!$G$13</f>
        <v>575</v>
      </c>
      <c r="J25" s="96">
        <f>[43]일반사항!$D$28</f>
        <v>25.55</v>
      </c>
    </row>
    <row r="26" spans="1:10" ht="20.100000000000001" customHeight="1">
      <c r="A26" s="25">
        <f>[45]일반사항!$B$4</f>
        <v>44400</v>
      </c>
      <c r="B26" s="16">
        <f>[45]일반사항!$E$28</f>
        <v>7.01</v>
      </c>
      <c r="C26" s="45">
        <f>[45]실험기록부!$C$11</f>
        <v>1.8199999999999994</v>
      </c>
      <c r="D26" s="17">
        <f>[45]실험기록부!$D$11</f>
        <v>5.5548369567140004</v>
      </c>
      <c r="E26" s="18">
        <f>[45]실험기록부!$E$11</f>
        <v>2.2000000000000175</v>
      </c>
      <c r="F26" s="19">
        <f>[45]실험기록부!$F$11</f>
        <v>7.0175999999999998</v>
      </c>
      <c r="G26" s="19">
        <f>[45]실험기록부!$G$11</f>
        <v>6.1151999999999998E-2</v>
      </c>
      <c r="H26" s="20">
        <f>[45]실험기록부!$H$11</f>
        <v>4.5</v>
      </c>
      <c r="I26" s="27">
        <f>[46]커버3!$G$13</f>
        <v>534</v>
      </c>
      <c r="J26" s="96">
        <f>[45]일반사항!$D$28</f>
        <v>25.6</v>
      </c>
    </row>
    <row r="27" spans="1:10" ht="20.100000000000001" customHeight="1">
      <c r="A27" s="25">
        <f>[47]일반사항!$B$4</f>
        <v>44401</v>
      </c>
      <c r="B27" s="16">
        <f>[47]일반사항!$E$28</f>
        <v>6.9550000000000001</v>
      </c>
      <c r="C27" s="45">
        <f>[47]실험기록부!$C$11</f>
        <v>1.3100000000000005</v>
      </c>
      <c r="D27" s="17">
        <f>[47]실험기록부!$D$11</f>
        <v>7.9455396554600002</v>
      </c>
      <c r="E27" s="18">
        <f>[47]실험기록부!$E$11</f>
        <v>1.7</v>
      </c>
      <c r="F27" s="19">
        <f>[47]실험기록부!$F$11</f>
        <v>5.0670000000000002</v>
      </c>
      <c r="G27" s="19">
        <f>[47]실험기록부!$G$11</f>
        <v>0.08</v>
      </c>
      <c r="H27" s="20">
        <f>[47]실험기록부!$H$11</f>
        <v>9.5</v>
      </c>
      <c r="I27" s="27">
        <f>[48]커버3!$G$13</f>
        <v>581</v>
      </c>
      <c r="J27" s="96">
        <f>[47]일반사항!$D$28</f>
        <v>25.65</v>
      </c>
    </row>
    <row r="28" spans="1:10" ht="20.100000000000001" customHeight="1">
      <c r="A28" s="25">
        <f>[49]일반사항!$B$4</f>
        <v>44402</v>
      </c>
      <c r="B28" s="16">
        <f>[49]일반사항!$E$28</f>
        <v>6.95</v>
      </c>
      <c r="C28" s="45">
        <f>[49]실험기록부!$C$11</f>
        <v>1.4000000000000004</v>
      </c>
      <c r="D28" s="17">
        <f>[49]실험기록부!$D$11</f>
        <v>6.4970610337399997</v>
      </c>
      <c r="E28" s="18">
        <f>[49]실험기록부!$E$11</f>
        <v>1.6</v>
      </c>
      <c r="F28" s="19">
        <f>[49]실험기록부!$F$11</f>
        <v>4.3840000000000003</v>
      </c>
      <c r="G28" s="19">
        <f>[49]실험기록부!$G$11</f>
        <v>7.0000000000000007E-2</v>
      </c>
      <c r="H28" s="20">
        <f>[49]실험기록부!$H$11</f>
        <v>5</v>
      </c>
      <c r="I28" s="27">
        <f>[50]커버3!$G$13</f>
        <v>615</v>
      </c>
      <c r="J28" s="96">
        <f>[49]일반사항!$D$28</f>
        <v>25.7</v>
      </c>
    </row>
    <row r="29" spans="1:10" ht="20.100000000000001" customHeight="1">
      <c r="A29" s="25">
        <f>[51]일반사항!$B$4</f>
        <v>44403</v>
      </c>
      <c r="B29" s="16">
        <f>[51]일반사항!$E$28</f>
        <v>6.9700000000000006</v>
      </c>
      <c r="C29" s="45">
        <f>[51]실험기록부!$C$11</f>
        <v>1.0000000000000009</v>
      </c>
      <c r="D29" s="17">
        <f>[51]실험기록부!$D$11</f>
        <v>7.2651137425880004</v>
      </c>
      <c r="E29" s="18">
        <f>[51]실험기록부!$E$11</f>
        <v>2.6000000000000227</v>
      </c>
      <c r="F29" s="19">
        <f>[51]실험기록부!$F$11</f>
        <v>7.6631999999999989</v>
      </c>
      <c r="G29" s="19">
        <f>[51]실험기록부!$G$11</f>
        <v>6.8880000000000011E-2</v>
      </c>
      <c r="H29" s="20">
        <f>[51]실험기록부!$H$11</f>
        <v>7</v>
      </c>
      <c r="I29" s="27">
        <f>[52]커버3!$G$13</f>
        <v>633</v>
      </c>
      <c r="J29" s="96">
        <f>[51]일반사항!$D$28</f>
        <v>25.85</v>
      </c>
    </row>
    <row r="30" spans="1:10" ht="20.100000000000001" customHeight="1">
      <c r="A30" s="25">
        <f>[53]일반사항!$B$4</f>
        <v>44404</v>
      </c>
      <c r="B30" s="16">
        <f>[53]일반사항!$E$28</f>
        <v>6.9250000000000007</v>
      </c>
      <c r="C30" s="45">
        <f>[53]실험기록부!$C$11</f>
        <v>0.79000000000000092</v>
      </c>
      <c r="D30" s="17">
        <f>[53]실험기록부!$D$11</f>
        <v>5.4875412655959996</v>
      </c>
      <c r="E30" s="18">
        <f>[53]실험기록부!$E$11</f>
        <v>2.4000000000000052</v>
      </c>
      <c r="F30" s="19">
        <f>[53]실험기록부!$F$11</f>
        <v>5.8531199999999997</v>
      </c>
      <c r="G30" s="19">
        <f>[53]실험기록부!$G$11</f>
        <v>3.9119999999999995E-2</v>
      </c>
      <c r="H30" s="20">
        <f>[53]실험기록부!$H$11</f>
        <v>10</v>
      </c>
      <c r="I30" s="27">
        <f>[54]커버3!$G$13</f>
        <v>624</v>
      </c>
      <c r="J30" s="96">
        <f>[53]일반사항!$D$28</f>
        <v>25.75</v>
      </c>
    </row>
    <row r="31" spans="1:10" ht="20.100000000000001" customHeight="1">
      <c r="A31" s="25">
        <f>[55]일반사항!$B$4</f>
        <v>44405</v>
      </c>
      <c r="B31" s="16">
        <f>[55]일반사항!$E$28</f>
        <v>6.9550000000000001</v>
      </c>
      <c r="C31" s="45">
        <f>[55]실험기록부!$C$11</f>
        <v>1.4900000000000002</v>
      </c>
      <c r="D31" s="17">
        <f>[55]실험기록부!$D$11</f>
        <v>6.4437417503940004</v>
      </c>
      <c r="E31" s="18">
        <f>[55]실험기록부!$E$11</f>
        <v>2.5999999999999948</v>
      </c>
      <c r="F31" s="19">
        <f>[55]실험기록부!$F$11</f>
        <v>6.8241600000000009</v>
      </c>
      <c r="G31" s="19">
        <f>[55]실험기록부!$G$11</f>
        <v>6.1391999999999995E-2</v>
      </c>
      <c r="H31" s="20">
        <f>[55]실험기록부!$H$11</f>
        <v>7.5</v>
      </c>
      <c r="I31" s="27">
        <f>[56]커버3!$G$13</f>
        <v>542</v>
      </c>
      <c r="J31" s="96">
        <f>[55]일반사항!$D$28</f>
        <v>25.65</v>
      </c>
    </row>
    <row r="32" spans="1:10" ht="20.100000000000001" customHeight="1">
      <c r="A32" s="25">
        <f>[57]일반사항!$B$4</f>
        <v>44406</v>
      </c>
      <c r="B32" s="16">
        <f>[57]일반사항!$E$28</f>
        <v>6.8949999999999996</v>
      </c>
      <c r="C32" s="45">
        <f>[57]실험기록부!$C$11</f>
        <v>1.1799999999999997</v>
      </c>
      <c r="D32" s="17">
        <f>[57]실험기록부!$D$11</f>
        <v>5.2420834462719998</v>
      </c>
      <c r="E32" s="18">
        <f>[57]실험기록부!$E$11</f>
        <v>2</v>
      </c>
      <c r="F32" s="19">
        <f>[57]실험기록부!$F$11</f>
        <v>6.1032000000000002</v>
      </c>
      <c r="G32" s="19">
        <f>[57]실험기록부!$G$11</f>
        <v>5.7839999999999989E-2</v>
      </c>
      <c r="H32" s="20">
        <f>[57]실험기록부!$H$11</f>
        <v>5.5</v>
      </c>
      <c r="I32" s="27">
        <f>[58]커버3!$G$13</f>
        <v>531</v>
      </c>
      <c r="J32" s="96">
        <f>[57]일반사항!$D$28</f>
        <v>25.85</v>
      </c>
    </row>
    <row r="33" spans="1:10" ht="20.100000000000001" customHeight="1">
      <c r="A33" s="25">
        <f>[59]일반사항!$B$4</f>
        <v>44407</v>
      </c>
      <c r="B33" s="16">
        <f>[59]일반사항!$E$28</f>
        <v>6.8949999999999996</v>
      </c>
      <c r="C33" s="45">
        <f>[59]실험기록부!$C$11</f>
        <v>1.6000000000000005</v>
      </c>
      <c r="D33" s="17">
        <f>[59]실험기록부!$D$11</f>
        <v>5.6829304157019997</v>
      </c>
      <c r="E33" s="18">
        <f>[59]실험기록부!$E$11</f>
        <v>2.8000000000000114</v>
      </c>
      <c r="F33" s="19">
        <f>[59]실험기록부!$F$11</f>
        <v>6.2649600000000003</v>
      </c>
      <c r="G33" s="19">
        <f>[59]실험기록부!$G$11</f>
        <v>5.8608E-2</v>
      </c>
      <c r="H33" s="20">
        <f>[59]실험기록부!$H$11</f>
        <v>2</v>
      </c>
      <c r="I33" s="27">
        <f>[60]커버3!$G$13</f>
        <v>631</v>
      </c>
      <c r="J33" s="96">
        <f>[59]일반사항!$D$28</f>
        <v>25.95</v>
      </c>
    </row>
    <row r="34" spans="1:10" ht="20.100000000000001" customHeight="1" thickBot="1">
      <c r="A34" s="28">
        <f>[61]일반사항!$B$4</f>
        <v>44408</v>
      </c>
      <c r="B34" s="29">
        <f>[61]일반사항!$E$28</f>
        <v>6.9050000000000002</v>
      </c>
      <c r="C34" s="46">
        <f>[61]실험기록부!$C$11</f>
        <v>1.1800000000000006</v>
      </c>
      <c r="D34" s="30">
        <f>[61]실험기록부!$D$11</f>
        <v>6.4970610337399997</v>
      </c>
      <c r="E34" s="31">
        <f>[61]실험기록부!$E$11</f>
        <v>1.7</v>
      </c>
      <c r="F34" s="32">
        <f>[61]실험기록부!$F$11</f>
        <v>4.5970000000000004</v>
      </c>
      <c r="G34" s="32">
        <f>[61]실험기록부!$G$11</f>
        <v>6.2E-2</v>
      </c>
      <c r="H34" s="33">
        <f>[61]실험기록부!$H$11</f>
        <v>11</v>
      </c>
      <c r="I34" s="34">
        <f>[62]커버3!$G$13</f>
        <v>716</v>
      </c>
      <c r="J34" s="96">
        <f>[61]일반사항!$D$28</f>
        <v>25.75</v>
      </c>
    </row>
    <row r="35" spans="1:10" ht="20.100000000000001" customHeight="1" thickTop="1">
      <c r="A35" s="15" t="s">
        <v>0</v>
      </c>
      <c r="B35" s="37">
        <f t="shared" ref="B35:I35" si="0">MAX(B4:B33)</f>
        <v>7.15</v>
      </c>
      <c r="C35" s="35">
        <f t="shared" si="0"/>
        <v>1.8699999999999992</v>
      </c>
      <c r="D35" s="35">
        <f t="shared" si="0"/>
        <v>7.9455396554600002</v>
      </c>
      <c r="E35" s="35">
        <f t="shared" si="0"/>
        <v>2.8000000000000114</v>
      </c>
      <c r="F35" s="40">
        <f t="shared" si="0"/>
        <v>7.7054400000000012</v>
      </c>
      <c r="G35" s="40">
        <f t="shared" si="0"/>
        <v>0.12</v>
      </c>
      <c r="H35" s="81">
        <f t="shared" si="0"/>
        <v>11</v>
      </c>
      <c r="I35" s="84">
        <f t="shared" si="0"/>
        <v>1142</v>
      </c>
    </row>
    <row r="36" spans="1:10" ht="20.100000000000001" customHeight="1">
      <c r="A36" s="1" t="s">
        <v>1</v>
      </c>
      <c r="B36" s="38">
        <f t="shared" ref="B36:I36" si="1">MIN(B5:B33)</f>
        <v>6.82</v>
      </c>
      <c r="C36" s="4">
        <f t="shared" si="1"/>
        <v>0.79000000000000092</v>
      </c>
      <c r="D36" s="4">
        <f t="shared" si="1"/>
        <v>3.4784857440039998</v>
      </c>
      <c r="E36" s="4">
        <f t="shared" si="1"/>
        <v>1.4000000000000057</v>
      </c>
      <c r="F36" s="41">
        <f t="shared" si="1"/>
        <v>3.6955199999999997</v>
      </c>
      <c r="G36" s="41">
        <f t="shared" si="1"/>
        <v>3.0959999999999998E-2</v>
      </c>
      <c r="H36" s="82">
        <f t="shared" si="1"/>
        <v>1.5</v>
      </c>
      <c r="I36" s="85">
        <f t="shared" si="1"/>
        <v>383</v>
      </c>
    </row>
    <row r="37" spans="1:10" ht="20.100000000000001" customHeight="1" thickBot="1">
      <c r="A37" s="2" t="s">
        <v>2</v>
      </c>
      <c r="B37" s="39">
        <f t="shared" ref="B37:I37" si="2">AVERAGE(B4:B33)</f>
        <v>6.9808333333333339</v>
      </c>
      <c r="C37" s="36">
        <f t="shared" si="2"/>
        <v>1.3613333333333335</v>
      </c>
      <c r="D37" s="36">
        <f t="shared" si="2"/>
        <v>5.319930152158534</v>
      </c>
      <c r="E37" s="36">
        <f t="shared" si="2"/>
        <v>2.1066666666666736</v>
      </c>
      <c r="F37" s="42">
        <f t="shared" si="2"/>
        <v>5.4837106666666662</v>
      </c>
      <c r="G37" s="42">
        <f t="shared" si="2"/>
        <v>6.625413333333334E-2</v>
      </c>
      <c r="H37" s="83">
        <f t="shared" si="2"/>
        <v>5.833333333333333</v>
      </c>
      <c r="I37" s="86">
        <f t="shared" si="2"/>
        <v>711.9666666666667</v>
      </c>
      <c r="J37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2021-07-02T07:31:37Z</cp:lastPrinted>
  <dcterms:created xsi:type="dcterms:W3CDTF">2012-04-09T23:45:26Z</dcterms:created>
  <dcterms:modified xsi:type="dcterms:W3CDTF">2021-08-02T02:44:29Z</dcterms:modified>
</cp:coreProperties>
</file>