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3D1981CF-9F94-4F8C-BE9F-EDCADEE6559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1" i="4" l="1"/>
  <c r="J33" i="4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I33" i="4"/>
  <c r="I33" i="9"/>
  <c r="H33" i="9"/>
  <c r="G33" i="9"/>
  <c r="F33" i="9"/>
  <c r="E33" i="9"/>
  <c r="D33" i="9"/>
  <c r="C33" i="9"/>
  <c r="B33" i="9"/>
  <c r="A33" i="4"/>
  <c r="A33" i="10"/>
  <c r="A33" i="9"/>
  <c r="H33" i="10" l="1"/>
  <c r="G33" i="10"/>
  <c r="F33" i="10"/>
  <c r="E33" i="10"/>
  <c r="D33" i="10"/>
  <c r="C33" i="10"/>
  <c r="B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I32" i="9"/>
  <c r="H32" i="9"/>
  <c r="G32" i="9"/>
  <c r="F32" i="9"/>
  <c r="E32" i="9"/>
  <c r="D32" i="9"/>
  <c r="C32" i="9"/>
  <c r="B32" i="9"/>
  <c r="A32" i="9"/>
  <c r="I31" i="9"/>
  <c r="H31" i="9"/>
  <c r="G31" i="9"/>
  <c r="F31" i="9"/>
  <c r="E31" i="9"/>
  <c r="D31" i="9"/>
  <c r="C31" i="9"/>
  <c r="B31" i="9"/>
  <c r="A31" i="9"/>
  <c r="I30" i="9"/>
  <c r="H30" i="9"/>
  <c r="G30" i="9"/>
  <c r="F30" i="9"/>
  <c r="E30" i="9"/>
  <c r="D30" i="9"/>
  <c r="C30" i="9"/>
  <c r="B30" i="9"/>
  <c r="A30" i="9"/>
  <c r="I29" i="9"/>
  <c r="H29" i="9"/>
  <c r="G29" i="9"/>
  <c r="F29" i="9"/>
  <c r="E29" i="9"/>
  <c r="D29" i="9"/>
  <c r="C29" i="9"/>
  <c r="B29" i="9"/>
  <c r="A29" i="9"/>
  <c r="I28" i="9"/>
  <c r="H28" i="9"/>
  <c r="G28" i="9"/>
  <c r="F28" i="9"/>
  <c r="E28" i="9"/>
  <c r="D28" i="9"/>
  <c r="C28" i="9"/>
  <c r="B28" i="9"/>
  <c r="A28" i="9"/>
  <c r="I27" i="9"/>
  <c r="H27" i="9"/>
  <c r="G27" i="9"/>
  <c r="F27" i="9"/>
  <c r="E27" i="9"/>
  <c r="D27" i="9"/>
  <c r="C27" i="9"/>
  <c r="B27" i="9"/>
  <c r="A27" i="9"/>
  <c r="I26" i="9"/>
  <c r="H26" i="9"/>
  <c r="G26" i="9"/>
  <c r="F26" i="9"/>
  <c r="E26" i="9"/>
  <c r="D26" i="9"/>
  <c r="C26" i="9"/>
  <c r="B26" i="9"/>
  <c r="A26" i="9"/>
  <c r="I25" i="9"/>
  <c r="H25" i="9"/>
  <c r="G25" i="9"/>
  <c r="F25" i="9"/>
  <c r="E25" i="9"/>
  <c r="D25" i="9"/>
  <c r="C25" i="9"/>
  <c r="B25" i="9"/>
  <c r="A25" i="9"/>
  <c r="I24" i="9"/>
  <c r="H24" i="9"/>
  <c r="G24" i="9"/>
  <c r="F24" i="9"/>
  <c r="E24" i="9"/>
  <c r="D24" i="9"/>
  <c r="C24" i="9"/>
  <c r="B24" i="9"/>
  <c r="A24" i="9"/>
  <c r="I23" i="9"/>
  <c r="H23" i="9"/>
  <c r="G23" i="9"/>
  <c r="F23" i="9"/>
  <c r="E23" i="9"/>
  <c r="D23" i="9"/>
  <c r="C23" i="9"/>
  <c r="B23" i="9"/>
  <c r="A23" i="9"/>
  <c r="I22" i="9"/>
  <c r="H22" i="9"/>
  <c r="G22" i="9"/>
  <c r="F22" i="9"/>
  <c r="E22" i="9"/>
  <c r="D22" i="9"/>
  <c r="C22" i="9"/>
  <c r="B22" i="9"/>
  <c r="A22" i="9"/>
  <c r="I21" i="9"/>
  <c r="H21" i="9"/>
  <c r="G21" i="9"/>
  <c r="F21" i="9"/>
  <c r="E21" i="9"/>
  <c r="D21" i="9"/>
  <c r="C21" i="9"/>
  <c r="B21" i="9"/>
  <c r="A21" i="9"/>
  <c r="I20" i="9"/>
  <c r="H20" i="9"/>
  <c r="G20" i="9"/>
  <c r="F20" i="9"/>
  <c r="E20" i="9"/>
  <c r="D20" i="9"/>
  <c r="C20" i="9"/>
  <c r="B20" i="9"/>
  <c r="A20" i="9"/>
  <c r="I19" i="9"/>
  <c r="H19" i="9"/>
  <c r="G19" i="9"/>
  <c r="F19" i="9"/>
  <c r="E19" i="9"/>
  <c r="D19" i="9"/>
  <c r="C19" i="9"/>
  <c r="B19" i="9"/>
  <c r="A19" i="9"/>
  <c r="I18" i="9"/>
  <c r="H18" i="9"/>
  <c r="G18" i="9"/>
  <c r="F18" i="9"/>
  <c r="E18" i="9"/>
  <c r="D18" i="9"/>
  <c r="C18" i="9"/>
  <c r="B18" i="9"/>
  <c r="A18" i="9"/>
  <c r="I17" i="9"/>
  <c r="H17" i="9"/>
  <c r="G17" i="9"/>
  <c r="F17" i="9"/>
  <c r="E17" i="9"/>
  <c r="D17" i="9"/>
  <c r="C17" i="9"/>
  <c r="B17" i="9"/>
  <c r="A17" i="9"/>
  <c r="I16" i="9"/>
  <c r="H16" i="9"/>
  <c r="G16" i="9"/>
  <c r="F16" i="9"/>
  <c r="E16" i="9"/>
  <c r="D16" i="9"/>
  <c r="C16" i="9"/>
  <c r="B16" i="9"/>
  <c r="A16" i="9"/>
  <c r="I15" i="9"/>
  <c r="H15" i="9"/>
  <c r="G15" i="9"/>
  <c r="F15" i="9"/>
  <c r="E15" i="9"/>
  <c r="D15" i="9"/>
  <c r="C15" i="9"/>
  <c r="B15" i="9"/>
  <c r="A15" i="9"/>
  <c r="I14" i="9"/>
  <c r="H14" i="9"/>
  <c r="G14" i="9"/>
  <c r="F14" i="9"/>
  <c r="E14" i="9"/>
  <c r="D14" i="9"/>
  <c r="C14" i="9"/>
  <c r="B14" i="9"/>
  <c r="A14" i="9"/>
  <c r="I13" i="9"/>
  <c r="H13" i="9"/>
  <c r="G13" i="9"/>
  <c r="F13" i="9"/>
  <c r="E13" i="9"/>
  <c r="D13" i="9"/>
  <c r="C13" i="9"/>
  <c r="B13" i="9"/>
  <c r="A13" i="9"/>
  <c r="I12" i="9"/>
  <c r="H12" i="9"/>
  <c r="G12" i="9"/>
  <c r="F12" i="9"/>
  <c r="E12" i="9"/>
  <c r="D12" i="9"/>
  <c r="C12" i="9"/>
  <c r="B12" i="9"/>
  <c r="A12" i="9"/>
  <c r="I11" i="9"/>
  <c r="H11" i="9"/>
  <c r="G11" i="9"/>
  <c r="F11" i="9"/>
  <c r="E11" i="9"/>
  <c r="D11" i="9"/>
  <c r="C11" i="9"/>
  <c r="B11" i="9"/>
  <c r="A11" i="9"/>
  <c r="I10" i="9"/>
  <c r="H10" i="9"/>
  <c r="G10" i="9"/>
  <c r="F10" i="9"/>
  <c r="E10" i="9"/>
  <c r="D10" i="9"/>
  <c r="C10" i="9"/>
  <c r="B10" i="9"/>
  <c r="A10" i="9"/>
  <c r="I9" i="9"/>
  <c r="H9" i="9"/>
  <c r="G9" i="9"/>
  <c r="F9" i="9"/>
  <c r="E9" i="9"/>
  <c r="D9" i="9"/>
  <c r="C9" i="9"/>
  <c r="B9" i="9"/>
  <c r="A9" i="9"/>
  <c r="I8" i="9"/>
  <c r="H8" i="9"/>
  <c r="G8" i="9"/>
  <c r="F8" i="9"/>
  <c r="E8" i="9"/>
  <c r="D8" i="9"/>
  <c r="C8" i="9"/>
  <c r="B8" i="9"/>
  <c r="A8" i="9"/>
  <c r="I7" i="9"/>
  <c r="H7" i="9"/>
  <c r="G7" i="9"/>
  <c r="F7" i="9"/>
  <c r="E7" i="9"/>
  <c r="D7" i="9"/>
  <c r="C7" i="9"/>
  <c r="B7" i="9"/>
  <c r="A7" i="9"/>
  <c r="I6" i="9"/>
  <c r="H6" i="9"/>
  <c r="G6" i="9"/>
  <c r="F6" i="9"/>
  <c r="E6" i="9"/>
  <c r="D6" i="9"/>
  <c r="C6" i="9"/>
  <c r="B6" i="9"/>
  <c r="A6" i="9"/>
  <c r="I5" i="9"/>
  <c r="H5" i="9"/>
  <c r="G5" i="9"/>
  <c r="F5" i="9"/>
  <c r="E5" i="9"/>
  <c r="D5" i="9"/>
  <c r="C5" i="9"/>
  <c r="B5" i="9"/>
  <c r="A5" i="9"/>
  <c r="I4" i="9"/>
  <c r="H4" i="9"/>
  <c r="G4" i="9"/>
  <c r="F4" i="9"/>
  <c r="E4" i="9"/>
  <c r="D4" i="9"/>
  <c r="C4" i="9"/>
  <c r="B4" i="9"/>
  <c r="A4" i="9"/>
  <c r="H33" i="4" l="1"/>
  <c r="G33" i="4"/>
  <c r="F33" i="4"/>
  <c r="E33" i="4"/>
  <c r="D33" i="4"/>
  <c r="C33" i="4"/>
  <c r="B33" i="4"/>
  <c r="J32" i="4"/>
  <c r="I32" i="4"/>
  <c r="H32" i="4"/>
  <c r="G32" i="4"/>
  <c r="F32" i="4"/>
  <c r="E32" i="4"/>
  <c r="D32" i="4"/>
  <c r="C32" i="4"/>
  <c r="B32" i="4"/>
  <c r="A32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6" i="4" l="1"/>
  <c r="I37" i="4"/>
  <c r="I35" i="4"/>
  <c r="H35" i="4" l="1"/>
  <c r="F35" i="4"/>
  <c r="B35" i="4"/>
  <c r="E35" i="4" l="1"/>
  <c r="C35" i="4"/>
  <c r="G35" i="4"/>
  <c r="D35" i="4"/>
  <c r="I35" i="9" l="1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G37" i="4"/>
  <c r="D37" i="4"/>
  <c r="H37" i="4"/>
  <c r="C36" i="4"/>
  <c r="G36" i="4"/>
  <c r="E37" i="4"/>
  <c r="D36" i="4"/>
  <c r="H36" i="4"/>
  <c r="E36" i="9"/>
  <c r="B37" i="4"/>
  <c r="F37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<sst xmlns="http://schemas.openxmlformats.org/spreadsheetml/2006/main" count="50" uniqueCount="27">
  <si>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</si>
  <si>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</si>
  <si>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</si>
  <si>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</si>
  <si>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</si>
  <si>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</si>
  <si>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</si>
  <si>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</si>
  <si>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</si>
  <si>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</si>
  <si>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</si>
  <si>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</si>
  <si>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</si>
  <si>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</si>
  <si>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</si>
  <si>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</si>
  <si>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</si>
  <si>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</si>
  <si>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</si>
  <si>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</si>
  <si>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</si>
  <si>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</si>
  <si>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</si>
  <si>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</si>
  <si>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(11월) - 유입수</t>
  </si>
  <si>
    <t>■ 황간공공하수처리시설 월보 (11월) - 총인유입수</t>
    <phoneticPr fontId="1" type="noConversion"/>
  </si>
  <si>
    <t>■ 황간공공하수처리시설 월보 (11월)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</si>
</sst>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  <numFmt numFmtId="188" formatCode="0.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88" fontId="2" fillId="0" borderId="15" xfId="0" applyNumberFormat="1" applyFont="1" applyBorder="1" applyAlignment="1">
      <alignment horizontal="center" vertical="center"/>
    </xf>
    <xf numFmtId="188" fontId="2" fillId="3" borderId="15" xfId="0" applyNumberFormat="1" applyFont="1" applyFill="1" applyBorder="1" applyAlignment="1">
      <alignment horizontal="center" vertical="center"/>
    </xf>
    <xf numFmtId="188" fontId="8" fillId="0" borderId="7" xfId="1" applyNumberFormat="1" applyFont="1" applyFill="1" applyBorder="1" applyAlignment="1">
      <alignment horizontal="center" vertical="center" shrinkToFit="1"/>
    </xf>
    <xf numFmtId="188" fontId="8" fillId="3" borderId="7" xfId="1" applyNumberFormat="1" applyFont="1" applyFill="1" applyBorder="1" applyAlignment="1">
      <alignment horizontal="center" vertical="center" shrinkToFit="1"/>
    </xf>
    <xf numFmtId="188" fontId="7" fillId="0" borderId="7" xfId="0" applyNumberFormat="1" applyFont="1" applyFill="1" applyBorder="1" applyAlignment="1">
      <alignment horizontal="center" vertical="center"/>
    </xf>
    <xf numFmtId="188" fontId="8" fillId="0" borderId="2" xfId="1" applyNumberFormat="1" applyFont="1" applyFill="1" applyBorder="1" applyAlignment="1">
      <alignment horizontal="center" vertical="center" shrinkToFit="1"/>
    </xf>
    <xf numFmtId="188" fontId="8" fillId="3" borderId="2" xfId="1" applyNumberFormat="1" applyFont="1" applyFill="1" applyBorder="1" applyAlignment="1">
      <alignment horizontal="center" vertical="center" shrinkToFit="1"/>
    </xf>
    <xf numFmtId="188" fontId="7" fillId="0" borderId="2" xfId="0" applyNumberFormat="1" applyFont="1" applyFill="1" applyBorder="1" applyAlignment="1">
      <alignment horizontal="center" vertical="center"/>
    </xf>
    <xf numFmtId="188" fontId="8" fillId="0" borderId="15" xfId="1" applyNumberFormat="1" applyFont="1" applyFill="1" applyBorder="1" applyAlignment="1">
      <alignment horizontal="center" vertical="center" shrinkToFit="1"/>
    </xf>
    <xf numFmtId="188" fontId="8" fillId="3" borderId="15" xfId="1" applyNumberFormat="1" applyFont="1" applyFill="1" applyBorder="1" applyAlignment="1">
      <alignment horizontal="center" vertical="center" shrinkToFit="1"/>
    </xf>
    <xf numFmtId="188" fontId="7" fillId="0" borderId="15" xfId="0" applyNumberFormat="1" applyFont="1" applyFill="1" applyBorder="1" applyAlignment="1">
      <alignment horizontal="center" vertical="center"/>
    </xf>
    <xf numFmtId="188" fontId="0" fillId="0" borderId="18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0" xfId="0" applyNumberFormat="1">
      <alignment vertical="center"/>
    </xf>
    <xf numFmtId="188" fontId="0" fillId="2" borderId="0" xfId="0" applyNumberFormat="1" applyFill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30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1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1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44501</v>
          </cell>
        </row>
        <row r="26">
          <cell r="D26">
            <v>18.05</v>
          </cell>
          <cell r="E26">
            <v>7.42</v>
          </cell>
        </row>
        <row r="27">
          <cell r="E27">
            <v>6.98</v>
          </cell>
        </row>
        <row r="28">
          <cell r="D28">
            <v>18.350000000000001</v>
          </cell>
          <cell r="E28">
            <v>6.92</v>
          </cell>
        </row>
      </sheetData>
      <sheetData sheetId="1">
        <row r="9">
          <cell r="C9">
            <v>179.99999999999994</v>
          </cell>
          <cell r="D9">
            <v>88.083440972792005</v>
          </cell>
          <cell r="E9">
            <v>159.99999999999991</v>
          </cell>
          <cell r="F9">
            <v>55.2072</v>
          </cell>
          <cell r="G9">
            <v>5.532</v>
          </cell>
          <cell r="H9">
            <v>140000</v>
          </cell>
        </row>
        <row r="10">
          <cell r="C10">
            <v>16.8</v>
          </cell>
          <cell r="D10">
            <v>6.8599684244799999</v>
          </cell>
          <cell r="E10">
            <v>14.400000000000034</v>
          </cell>
          <cell r="F10">
            <v>7.0084800000000005</v>
          </cell>
          <cell r="G10">
            <v>0.50294400000000006</v>
          </cell>
          <cell r="H10">
            <v>420</v>
          </cell>
        </row>
        <row r="11">
          <cell r="C11">
            <v>1.4400000000000004</v>
          </cell>
          <cell r="D11">
            <v>5.1409294000479999</v>
          </cell>
          <cell r="E11">
            <v>4.5999999999999943</v>
          </cell>
          <cell r="F11">
            <v>7.1640000000000015</v>
          </cell>
          <cell r="G11">
            <v>0.123312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507</v>
          </cell>
        </row>
        <row r="13">
          <cell r="G13">
            <v>579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44506</v>
          </cell>
        </row>
        <row r="26">
          <cell r="D26">
            <v>17.899999999999999</v>
          </cell>
          <cell r="E26">
            <v>7.24</v>
          </cell>
        </row>
        <row r="27">
          <cell r="E27">
            <v>0</v>
          </cell>
        </row>
        <row r="28">
          <cell r="D28">
            <v>18.05</v>
          </cell>
          <cell r="E28">
            <v>6.94</v>
          </cell>
        </row>
      </sheetData>
      <sheetData sheetId="1">
        <row r="9">
          <cell r="C9">
            <v>238.99999999999997</v>
          </cell>
          <cell r="D9">
            <v>99.098629997703995</v>
          </cell>
          <cell r="E9">
            <v>203.33333333333314</v>
          </cell>
          <cell r="F9">
            <v>45.720000000000006</v>
          </cell>
          <cell r="G9">
            <v>4.3228799999999996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2.3100000000000005</v>
          </cell>
          <cell r="D11">
            <v>3.6028572320359999</v>
          </cell>
          <cell r="E11">
            <v>3.4000000000000052</v>
          </cell>
          <cell r="F11">
            <v>4.6619999999999999</v>
          </cell>
          <cell r="G11">
            <v>0.17899999999999999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533</v>
          </cell>
        </row>
        <row r="13">
          <cell r="G13">
            <v>570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44507</v>
          </cell>
        </row>
        <row r="26">
          <cell r="D26">
            <v>17.850000000000001</v>
          </cell>
          <cell r="E26">
            <v>7.39</v>
          </cell>
        </row>
        <row r="27">
          <cell r="E27">
            <v>0</v>
          </cell>
        </row>
        <row r="28">
          <cell r="D28">
            <v>17.95</v>
          </cell>
          <cell r="E28">
            <v>6.95</v>
          </cell>
        </row>
      </sheetData>
      <sheetData sheetId="1">
        <row r="9">
          <cell r="C9">
            <v>168.50000000000006</v>
          </cell>
          <cell r="D9">
            <v>95.922732201735997</v>
          </cell>
          <cell r="E9">
            <v>156.66666666666677</v>
          </cell>
          <cell r="F9">
            <v>39.134400000000007</v>
          </cell>
          <cell r="G9">
            <v>4.1112000000000002</v>
          </cell>
          <cell r="H9">
            <v>140000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1.9299999999999997</v>
          </cell>
          <cell r="D11">
            <v>3.611020663928</v>
          </cell>
          <cell r="E11">
            <v>4.8000000000000105</v>
          </cell>
          <cell r="F11">
            <v>4.7830000000000004</v>
          </cell>
          <cell r="G11">
            <v>0.17699999999999999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526</v>
          </cell>
        </row>
        <row r="13">
          <cell r="G13">
            <v>564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44508</v>
          </cell>
        </row>
        <row r="26">
          <cell r="D26">
            <v>17.399999999999999</v>
          </cell>
          <cell r="E26">
            <v>7.5449999999999999</v>
          </cell>
        </row>
        <row r="27">
          <cell r="E27">
            <v>6.98</v>
          </cell>
        </row>
        <row r="28">
          <cell r="D28">
            <v>17.5</v>
          </cell>
          <cell r="E28">
            <v>6.9450000000000003</v>
          </cell>
        </row>
      </sheetData>
      <sheetData sheetId="1">
        <row r="9">
          <cell r="C9">
            <v>155.00000000000003</v>
          </cell>
          <cell r="D9">
            <v>104.202280346992</v>
          </cell>
          <cell r="E9">
            <v>139.99999999999963</v>
          </cell>
          <cell r="F9">
            <v>39.105599999999995</v>
          </cell>
          <cell r="G9">
            <v>4.4380800000000011</v>
          </cell>
          <cell r="H9">
            <v>140000</v>
          </cell>
        </row>
        <row r="10">
          <cell r="C10">
            <v>16.462500000000002</v>
          </cell>
          <cell r="D10">
            <v>6.4262093978239996</v>
          </cell>
          <cell r="E10">
            <v>18.399999999999977</v>
          </cell>
          <cell r="F10">
            <v>6.8759999999999994</v>
          </cell>
          <cell r="G10">
            <v>0.47318400000000005</v>
          </cell>
          <cell r="H10">
            <v>590</v>
          </cell>
        </row>
        <row r="11">
          <cell r="C11">
            <v>3.2700000000000005</v>
          </cell>
          <cell r="D11">
            <v>4.3314626018359998</v>
          </cell>
          <cell r="E11">
            <v>4.4000000000000057</v>
          </cell>
          <cell r="F11">
            <v>6.8078400000000006</v>
          </cell>
          <cell r="G11">
            <v>0.11587199999999999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552</v>
          </cell>
        </row>
        <row r="13">
          <cell r="G13">
            <v>634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44509</v>
          </cell>
        </row>
        <row r="26">
          <cell r="D26">
            <v>17.3</v>
          </cell>
          <cell r="E26">
            <v>7.2750000000000004</v>
          </cell>
        </row>
        <row r="27">
          <cell r="E27">
            <v>6.9850000000000003</v>
          </cell>
        </row>
        <row r="28">
          <cell r="D28">
            <v>17.45</v>
          </cell>
          <cell r="E28">
            <v>6.9450000000000003</v>
          </cell>
        </row>
      </sheetData>
      <sheetData sheetId="1">
        <row r="9">
          <cell r="C9">
            <v>180.99999999999997</v>
          </cell>
          <cell r="D9">
            <v>97.327263421287995</v>
          </cell>
          <cell r="E9">
            <v>186.66666666666649</v>
          </cell>
          <cell r="F9">
            <v>40.588799999999999</v>
          </cell>
          <cell r="G9">
            <v>3.5836800000000002</v>
          </cell>
          <cell r="H9">
            <v>160000</v>
          </cell>
        </row>
        <row r="10">
          <cell r="C10">
            <v>15.674999999999999</v>
          </cell>
          <cell r="D10">
            <v>6.0436054262300001</v>
          </cell>
          <cell r="E10">
            <v>18</v>
          </cell>
          <cell r="F10">
            <v>6.7680000000000007</v>
          </cell>
          <cell r="G10">
            <v>0.42811199999999994</v>
          </cell>
          <cell r="H10">
            <v>710</v>
          </cell>
        </row>
        <row r="11">
          <cell r="C11">
            <v>2.5</v>
          </cell>
          <cell r="D11">
            <v>3.9375732572479998</v>
          </cell>
          <cell r="E11">
            <v>3.5999999999999948</v>
          </cell>
          <cell r="F11">
            <v>6.6758399999999991</v>
          </cell>
          <cell r="G11">
            <v>8.764799999999999E-2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530</v>
          </cell>
        </row>
        <row r="13">
          <cell r="G13">
            <v>541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44510</v>
          </cell>
        </row>
        <row r="26">
          <cell r="D26">
            <v>17</v>
          </cell>
          <cell r="E26">
            <v>7.4950000000000001</v>
          </cell>
        </row>
        <row r="27">
          <cell r="E27">
            <v>6.97</v>
          </cell>
        </row>
        <row r="28">
          <cell r="D28">
            <v>17.100000000000001</v>
          </cell>
          <cell r="E28">
            <v>6.93</v>
          </cell>
        </row>
      </sheetData>
      <sheetData sheetId="1">
        <row r="9">
          <cell r="C9">
            <v>165</v>
          </cell>
          <cell r="D9">
            <v>90.249714627931994</v>
          </cell>
          <cell r="E9">
            <v>186.66666666666649</v>
          </cell>
          <cell r="F9">
            <v>43.466399999999993</v>
          </cell>
          <cell r="G9">
            <v>4.7121599999999999</v>
          </cell>
          <cell r="H9">
            <v>130000</v>
          </cell>
        </row>
        <row r="10">
          <cell r="C10">
            <v>14.249999999999996</v>
          </cell>
          <cell r="D10">
            <v>6.1740468451200003</v>
          </cell>
          <cell r="E10">
            <v>18.399999999999977</v>
          </cell>
          <cell r="F10">
            <v>6.4579199999999997</v>
          </cell>
          <cell r="G10">
            <v>0.54268799999999995</v>
          </cell>
          <cell r="H10">
            <v>690</v>
          </cell>
        </row>
        <row r="11">
          <cell r="C11">
            <v>2.16</v>
          </cell>
          <cell r="D11">
            <v>3.9630785193600002</v>
          </cell>
          <cell r="E11">
            <v>4.2000000000000171</v>
          </cell>
          <cell r="F11">
            <v>5.5886399999999998</v>
          </cell>
          <cell r="G11">
            <v>0.105744</v>
          </cell>
          <cell r="H11">
            <v>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511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520</v>
          </cell>
        </row>
        <row r="13">
          <cell r="G13">
            <v>592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44511</v>
          </cell>
        </row>
        <row r="26">
          <cell r="D26">
            <v>17.600000000000001</v>
          </cell>
          <cell r="E26">
            <v>7.1950000000000003</v>
          </cell>
        </row>
        <row r="27">
          <cell r="E27">
            <v>6.96</v>
          </cell>
        </row>
        <row r="28">
          <cell r="D28">
            <v>17.5</v>
          </cell>
          <cell r="E28">
            <v>6.9</v>
          </cell>
        </row>
      </sheetData>
      <sheetData sheetId="1">
        <row r="9">
          <cell r="C9">
            <v>203.5</v>
          </cell>
          <cell r="D9">
            <v>63.02081646976</v>
          </cell>
          <cell r="E9">
            <v>210.00000000000037</v>
          </cell>
          <cell r="F9">
            <v>33.717599999999997</v>
          </cell>
          <cell r="G9">
            <v>4.83744</v>
          </cell>
          <cell r="H9">
            <v>220000</v>
          </cell>
        </row>
        <row r="10">
          <cell r="C10">
            <v>13.012499999999999</v>
          </cell>
          <cell r="D10">
            <v>3.9875951968379999</v>
          </cell>
          <cell r="E10">
            <v>16.399999999999977</v>
          </cell>
          <cell r="F10">
            <v>6.1876800000000003</v>
          </cell>
          <cell r="G10">
            <v>0.60753599999999996</v>
          </cell>
          <cell r="H10">
            <v>880</v>
          </cell>
        </row>
        <row r="11">
          <cell r="C11">
            <v>2.3800000000000008</v>
          </cell>
          <cell r="D11">
            <v>3.70154795883</v>
          </cell>
          <cell r="E11">
            <v>4.5999999999999943</v>
          </cell>
          <cell r="F11">
            <v>5.9918399999999998</v>
          </cell>
          <cell r="G11">
            <v>0.104976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529</v>
          </cell>
        </row>
        <row r="13">
          <cell r="G13">
            <v>539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44512</v>
          </cell>
        </row>
        <row r="26">
          <cell r="D26">
            <v>17.5</v>
          </cell>
          <cell r="E26">
            <v>7.4050000000000002</v>
          </cell>
        </row>
        <row r="27">
          <cell r="E27">
            <v>6.95</v>
          </cell>
        </row>
        <row r="28">
          <cell r="D28">
            <v>17.600000000000001</v>
          </cell>
          <cell r="E28">
            <v>6.9050000000000002</v>
          </cell>
        </row>
      </sheetData>
      <sheetData sheetId="1">
        <row r="9">
          <cell r="C9">
            <v>223.50000000000003</v>
          </cell>
          <cell r="D9">
            <v>91.119084687444001</v>
          </cell>
          <cell r="E9">
            <v>203.33333333333314</v>
          </cell>
          <cell r="F9">
            <v>39.499199999999995</v>
          </cell>
          <cell r="G9">
            <v>3.7300800000000001</v>
          </cell>
          <cell r="H9">
            <v>180000</v>
          </cell>
        </row>
        <row r="10">
          <cell r="C10">
            <v>14.474999999999998</v>
          </cell>
          <cell r="D10">
            <v>7.3153497690140004</v>
          </cell>
          <cell r="E10">
            <v>17.600000000000023</v>
          </cell>
          <cell r="F10">
            <v>6.7934400000000013</v>
          </cell>
          <cell r="G10">
            <v>0.39830400000000005</v>
          </cell>
          <cell r="H10">
            <v>780</v>
          </cell>
        </row>
        <row r="11">
          <cell r="C11">
            <v>2.7599999999999989</v>
          </cell>
          <cell r="D11">
            <v>1.798501038058</v>
          </cell>
          <cell r="E11">
            <v>4.1999999999999895</v>
          </cell>
          <cell r="F11">
            <v>6.0163200000000003</v>
          </cell>
          <cell r="G11">
            <v>0.101424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535</v>
          </cell>
        </row>
        <row r="13">
          <cell r="G13">
            <v>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44513</v>
          </cell>
        </row>
        <row r="26">
          <cell r="D26">
            <v>17.05</v>
          </cell>
          <cell r="E26">
            <v>7.38</v>
          </cell>
        </row>
        <row r="27">
          <cell r="E27">
            <v>0</v>
          </cell>
        </row>
        <row r="28">
          <cell r="D28">
            <v>17.25</v>
          </cell>
          <cell r="E28">
            <v>6.9050000000000002</v>
          </cell>
        </row>
      </sheetData>
      <sheetData sheetId="1">
        <row r="9">
          <cell r="C9">
            <v>188</v>
          </cell>
          <cell r="D9">
            <v>105.83229768154</v>
          </cell>
          <cell r="E9">
            <v>193.33333333333368</v>
          </cell>
          <cell r="F9">
            <v>40.344000000000001</v>
          </cell>
          <cell r="G9">
            <v>4.1904000000000003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2.29</v>
          </cell>
          <cell r="D11">
            <v>3.8154470140060002</v>
          </cell>
          <cell r="E11">
            <v>4</v>
          </cell>
          <cell r="F11">
            <v>4.9219999999999997</v>
          </cell>
          <cell r="G11">
            <v>0.13700000000000001</v>
          </cell>
          <cell r="H11">
            <v>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530</v>
          </cell>
        </row>
        <row r="13">
          <cell r="G13">
            <v>597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44514</v>
          </cell>
        </row>
        <row r="26">
          <cell r="D26">
            <v>17.2</v>
          </cell>
          <cell r="E26">
            <v>7.23</v>
          </cell>
        </row>
        <row r="27">
          <cell r="E27">
            <v>0</v>
          </cell>
        </row>
        <row r="28">
          <cell r="D28">
            <v>17.399999999999999</v>
          </cell>
          <cell r="E28">
            <v>6.92</v>
          </cell>
        </row>
      </sheetData>
      <sheetData sheetId="1">
        <row r="9">
          <cell r="C9">
            <v>202.99999999999997</v>
          </cell>
          <cell r="D9">
            <v>99.180685925152005</v>
          </cell>
          <cell r="E9">
            <v>173.33333333333343</v>
          </cell>
          <cell r="F9">
            <v>44.911200000000008</v>
          </cell>
          <cell r="G9">
            <v>4.4328000000000003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2.6799999999999997</v>
          </cell>
          <cell r="D11">
            <v>3.4126332022839998</v>
          </cell>
          <cell r="E11">
            <v>4</v>
          </cell>
          <cell r="F11">
            <v>5.165</v>
          </cell>
          <cell r="G11">
            <v>0.16400000000000001</v>
          </cell>
          <cell r="H11">
            <v>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542</v>
          </cell>
        </row>
        <row r="13">
          <cell r="G13">
            <v>613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44515</v>
          </cell>
        </row>
        <row r="26">
          <cell r="D26">
            <v>17.100000000000001</v>
          </cell>
          <cell r="E26">
            <v>7.4</v>
          </cell>
        </row>
        <row r="27">
          <cell r="E27">
            <v>6.98</v>
          </cell>
        </row>
        <row r="28">
          <cell r="D28">
            <v>17.45</v>
          </cell>
          <cell r="E28">
            <v>6.93</v>
          </cell>
        </row>
      </sheetData>
      <sheetData sheetId="1">
        <row r="9">
          <cell r="C9">
            <v>215.49999999999997</v>
          </cell>
          <cell r="D9">
            <v>109.65045009016001</v>
          </cell>
          <cell r="E9">
            <v>193.33333333333323</v>
          </cell>
          <cell r="F9">
            <v>34.704000000000001</v>
          </cell>
          <cell r="G9">
            <v>5.1835199999999997</v>
          </cell>
          <cell r="H9">
            <v>200000</v>
          </cell>
        </row>
        <row r="10">
          <cell r="C10">
            <v>15.525000000000002</v>
          </cell>
          <cell r="D10">
            <v>6.8525968776640003</v>
          </cell>
          <cell r="E10">
            <v>18.800000000000011</v>
          </cell>
          <cell r="F10">
            <v>5.91744</v>
          </cell>
          <cell r="G10">
            <v>0.47323199999999993</v>
          </cell>
          <cell r="H10">
            <v>920</v>
          </cell>
        </row>
        <row r="11">
          <cell r="C11">
            <v>2.5300000000000011</v>
          </cell>
          <cell r="D11">
            <v>3.997922212522</v>
          </cell>
          <cell r="E11">
            <v>4.1999999999999895</v>
          </cell>
          <cell r="F11">
            <v>5.4302399999999995</v>
          </cell>
          <cell r="G11">
            <v>9.3983999999999984E-2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44502</v>
          </cell>
        </row>
        <row r="26">
          <cell r="D26">
            <v>18.100000000000001</v>
          </cell>
          <cell r="E26">
            <v>7.5049999999999999</v>
          </cell>
        </row>
        <row r="27">
          <cell r="E27">
            <v>6.95</v>
          </cell>
        </row>
        <row r="28">
          <cell r="D28">
            <v>18.25</v>
          </cell>
          <cell r="E28">
            <v>6.9050000000000002</v>
          </cell>
        </row>
      </sheetData>
      <sheetData sheetId="1">
        <row r="9">
          <cell r="C9">
            <v>213.99999999999997</v>
          </cell>
          <cell r="D9">
            <v>103.495219481456</v>
          </cell>
          <cell r="E9">
            <v>210.00000000000037</v>
          </cell>
          <cell r="F9">
            <v>38.354399999999998</v>
          </cell>
          <cell r="G9">
            <v>4.7155199999999997</v>
          </cell>
          <cell r="H9">
            <v>190000</v>
          </cell>
        </row>
        <row r="10">
          <cell r="C10">
            <v>18.562499999999996</v>
          </cell>
          <cell r="D10">
            <v>10.512447660182</v>
          </cell>
          <cell r="E10">
            <v>18.400000000000034</v>
          </cell>
          <cell r="F10">
            <v>8.4955199999999991</v>
          </cell>
          <cell r="G10">
            <v>0.54321600000000003</v>
          </cell>
          <cell r="H10">
            <v>800</v>
          </cell>
        </row>
        <row r="11">
          <cell r="C11">
            <v>2.5599999999999996</v>
          </cell>
          <cell r="D11">
            <v>4.0634204717919999</v>
          </cell>
          <cell r="E11">
            <v>3.2000000000000175</v>
          </cell>
          <cell r="F11">
            <v>7.8052800000000007</v>
          </cell>
          <cell r="G11">
            <v>9.6959999999999991E-2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498</v>
          </cell>
        </row>
        <row r="13">
          <cell r="G13">
            <v>579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44516</v>
          </cell>
        </row>
        <row r="26">
          <cell r="D26">
            <v>17.05</v>
          </cell>
          <cell r="E26">
            <v>7.33</v>
          </cell>
        </row>
        <row r="27">
          <cell r="E27">
            <v>6.95</v>
          </cell>
        </row>
        <row r="28">
          <cell r="D28">
            <v>17.3</v>
          </cell>
          <cell r="E28">
            <v>6.9</v>
          </cell>
        </row>
      </sheetData>
      <sheetData sheetId="1">
        <row r="9">
          <cell r="C9">
            <v>190.99999999999997</v>
          </cell>
          <cell r="D9">
            <v>100.262735870432</v>
          </cell>
          <cell r="E9">
            <v>183.33333333333334</v>
          </cell>
          <cell r="F9">
            <v>32.140799999999999</v>
          </cell>
          <cell r="G9">
            <v>4.5081599999999993</v>
          </cell>
          <cell r="H9">
            <v>190000</v>
          </cell>
        </row>
        <row r="10">
          <cell r="C10">
            <v>15.374999999999998</v>
          </cell>
          <cell r="D10">
            <v>6.1275501024140002</v>
          </cell>
          <cell r="E10">
            <v>18.399999999999977</v>
          </cell>
          <cell r="F10">
            <v>4.6886400000000004</v>
          </cell>
          <cell r="G10">
            <v>0.44030400000000008</v>
          </cell>
          <cell r="H10">
            <v>680</v>
          </cell>
        </row>
        <row r="11">
          <cell r="C11">
            <v>3.1399999999999997</v>
          </cell>
          <cell r="D11">
            <v>3.9213267421519999</v>
          </cell>
          <cell r="E11">
            <v>4.5999999999999943</v>
          </cell>
          <cell r="F11">
            <v>5.6639999999999997</v>
          </cell>
          <cell r="G11">
            <v>8.9328000000000005E-2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543</v>
          </cell>
        </row>
        <row r="13">
          <cell r="G13">
            <v>566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44517</v>
          </cell>
        </row>
        <row r="26">
          <cell r="D26">
            <v>16.899999999999999</v>
          </cell>
          <cell r="E26">
            <v>7.47</v>
          </cell>
        </row>
        <row r="27">
          <cell r="E27">
            <v>6.9649999999999999</v>
          </cell>
        </row>
        <row r="28">
          <cell r="D28">
            <v>17.149999999999999</v>
          </cell>
          <cell r="E28">
            <v>6.92</v>
          </cell>
        </row>
      </sheetData>
      <sheetData sheetId="1">
        <row r="9">
          <cell r="C9">
            <v>205.99999999999997</v>
          </cell>
          <cell r="D9">
            <v>82.450120984584004</v>
          </cell>
          <cell r="E9">
            <v>183.33333333333334</v>
          </cell>
          <cell r="F9">
            <v>31.691999999999997</v>
          </cell>
          <cell r="G9">
            <v>3.8159999999999998</v>
          </cell>
          <cell r="H9">
            <v>220000</v>
          </cell>
        </row>
        <row r="10">
          <cell r="C10">
            <v>17.025000000000002</v>
          </cell>
          <cell r="D10">
            <v>7.4881798195240004</v>
          </cell>
          <cell r="E10">
            <v>18.399999999999977</v>
          </cell>
          <cell r="F10">
            <v>6.10128</v>
          </cell>
          <cell r="G10">
            <v>0.58262399999999992</v>
          </cell>
          <cell r="H10">
            <v>880</v>
          </cell>
        </row>
        <row r="11">
          <cell r="C11">
            <v>2.4900000000000002</v>
          </cell>
          <cell r="D11">
            <v>5.2953834531439998</v>
          </cell>
          <cell r="E11">
            <v>4.1999999999999895</v>
          </cell>
          <cell r="F11">
            <v>4.4236800000000001</v>
          </cell>
          <cell r="G11">
            <v>0.11337599999999998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518</v>
          </cell>
        </row>
        <row r="13">
          <cell r="G13">
            <v>556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44518</v>
          </cell>
        </row>
        <row r="26">
          <cell r="D26">
            <v>16.899999999999999</v>
          </cell>
          <cell r="E26">
            <v>7.27</v>
          </cell>
        </row>
        <row r="27">
          <cell r="E27">
            <v>6.98</v>
          </cell>
        </row>
        <row r="28">
          <cell r="D28">
            <v>17.05</v>
          </cell>
          <cell r="E28">
            <v>6.95</v>
          </cell>
        </row>
      </sheetData>
      <sheetData sheetId="1">
        <row r="9">
          <cell r="C9">
            <v>174.00000000000003</v>
          </cell>
          <cell r="D9">
            <v>90.060440216255998</v>
          </cell>
          <cell r="E9">
            <v>186.66666666666649</v>
          </cell>
          <cell r="F9">
            <v>34.108800000000002</v>
          </cell>
          <cell r="G9">
            <v>4.4481599999999997</v>
          </cell>
          <cell r="H9">
            <v>160000</v>
          </cell>
        </row>
        <row r="10">
          <cell r="C10">
            <v>18.187500000000007</v>
          </cell>
          <cell r="D10">
            <v>8.7051695977120005</v>
          </cell>
          <cell r="E10">
            <v>18.400000000000034</v>
          </cell>
          <cell r="F10">
            <v>5.1244800000000001</v>
          </cell>
          <cell r="G10">
            <v>0.41971200000000003</v>
          </cell>
          <cell r="H10">
            <v>610</v>
          </cell>
        </row>
        <row r="11">
          <cell r="C11">
            <v>2.4599999999999991</v>
          </cell>
          <cell r="D11">
            <v>5.1254001558800004</v>
          </cell>
          <cell r="E11">
            <v>4.4000000000000057</v>
          </cell>
          <cell r="F11">
            <v>5.4043200000000002</v>
          </cell>
          <cell r="G11">
            <v>9.6192000000000014E-2</v>
          </cell>
          <cell r="H11">
            <v>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548</v>
          </cell>
        </row>
        <row r="13">
          <cell r="G13">
            <v>537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44519</v>
          </cell>
        </row>
        <row r="26">
          <cell r="D26">
            <v>16.899999999999999</v>
          </cell>
          <cell r="E26">
            <v>7.33</v>
          </cell>
        </row>
        <row r="27">
          <cell r="E27">
            <v>6.9850000000000003</v>
          </cell>
        </row>
        <row r="28">
          <cell r="D28">
            <v>17.149999999999999</v>
          </cell>
          <cell r="E28">
            <v>6.9450000000000003</v>
          </cell>
        </row>
      </sheetData>
      <sheetData sheetId="1">
        <row r="9">
          <cell r="C9">
            <v>192</v>
          </cell>
          <cell r="D9">
            <v>94.435416981928</v>
          </cell>
          <cell r="E9">
            <v>226.66666666666703</v>
          </cell>
          <cell r="F9">
            <v>36.036000000000001</v>
          </cell>
          <cell r="G9">
            <v>5.9625600000000007</v>
          </cell>
          <cell r="H9">
            <v>210000</v>
          </cell>
        </row>
        <row r="10">
          <cell r="C10">
            <v>15.225000000000001</v>
          </cell>
          <cell r="D10">
            <v>4.7611396750320001</v>
          </cell>
          <cell r="E10">
            <v>16.400000000000034</v>
          </cell>
          <cell r="F10">
            <v>7.00176</v>
          </cell>
          <cell r="G10">
            <v>0.51681600000000005</v>
          </cell>
          <cell r="H10">
            <v>750</v>
          </cell>
        </row>
        <row r="11">
          <cell r="C11">
            <v>2.2199999999999998</v>
          </cell>
          <cell r="D11">
            <v>8.7274815570479998</v>
          </cell>
          <cell r="E11">
            <v>4.5999999999999943</v>
          </cell>
          <cell r="F11">
            <v>6.4579199999999997</v>
          </cell>
          <cell r="G11">
            <v>0.137568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521</v>
          </cell>
        </row>
        <row r="13">
          <cell r="G13">
            <v>569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44520</v>
          </cell>
        </row>
        <row r="26">
          <cell r="D26">
            <v>16.8</v>
          </cell>
          <cell r="E26">
            <v>7.4450000000000003</v>
          </cell>
        </row>
        <row r="27">
          <cell r="E27">
            <v>0</v>
          </cell>
        </row>
        <row r="28">
          <cell r="D28">
            <v>16.899999999999999</v>
          </cell>
          <cell r="E28">
            <v>6.93</v>
          </cell>
        </row>
      </sheetData>
      <sheetData sheetId="1">
        <row r="9">
          <cell r="C9">
            <v>211</v>
          </cell>
          <cell r="D9">
            <v>75.432707300079997</v>
          </cell>
          <cell r="E9">
            <v>219.99999999999983</v>
          </cell>
          <cell r="F9">
            <v>50.988</v>
          </cell>
          <cell r="G9">
            <v>5.0068799999999998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2.5500000000000007</v>
          </cell>
          <cell r="D11">
            <v>4.237094424276</v>
          </cell>
          <cell r="E11">
            <v>4.2</v>
          </cell>
          <cell r="F11">
            <v>5.758</v>
          </cell>
          <cell r="G11">
            <v>0.151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507</v>
          </cell>
        </row>
        <row r="13">
          <cell r="G13">
            <v>550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536</v>
          </cell>
        </row>
        <row r="13">
          <cell r="G13">
            <v>559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44521</v>
          </cell>
        </row>
        <row r="26">
          <cell r="D26">
            <v>16.5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16.75</v>
          </cell>
          <cell r="E28">
            <v>6.91</v>
          </cell>
        </row>
      </sheetData>
      <sheetData sheetId="1">
        <row r="9">
          <cell r="C9">
            <v>165</v>
          </cell>
          <cell r="D9">
            <v>77.982095301360005</v>
          </cell>
          <cell r="E9">
            <v>173.33333333333343</v>
          </cell>
          <cell r="F9">
            <v>41.135999999999996</v>
          </cell>
          <cell r="G9">
            <v>5.3745599999999998</v>
          </cell>
          <cell r="H9">
            <v>150000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2.21</v>
          </cell>
          <cell r="D11">
            <v>5.2451552404440003</v>
          </cell>
          <cell r="E11">
            <v>4.2</v>
          </cell>
          <cell r="F11">
            <v>5.742</v>
          </cell>
          <cell r="G11">
            <v>0.14399999999999999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535</v>
          </cell>
        </row>
        <row r="13">
          <cell r="G13">
            <v>550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44522</v>
          </cell>
        </row>
        <row r="26">
          <cell r="D26">
            <v>16.5</v>
          </cell>
          <cell r="E26">
            <v>7.4050000000000002</v>
          </cell>
        </row>
        <row r="27">
          <cell r="E27">
            <v>6.99</v>
          </cell>
        </row>
        <row r="28">
          <cell r="D28">
            <v>16.7</v>
          </cell>
          <cell r="E28">
            <v>6.9550000000000001</v>
          </cell>
        </row>
      </sheetData>
      <sheetData sheetId="1">
        <row r="9">
          <cell r="C9">
            <v>177.5</v>
          </cell>
          <cell r="D9">
            <v>85.306235400640006</v>
          </cell>
          <cell r="E9">
            <v>186.66666666666649</v>
          </cell>
          <cell r="F9">
            <v>38.517600000000002</v>
          </cell>
          <cell r="G9">
            <v>3.3657599999999994</v>
          </cell>
          <cell r="H9">
            <v>190000</v>
          </cell>
        </row>
        <row r="10">
          <cell r="C10">
            <v>14.85</v>
          </cell>
          <cell r="D10">
            <v>10.773147700998001</v>
          </cell>
          <cell r="E10">
            <v>12.400000000000034</v>
          </cell>
          <cell r="F10">
            <v>6.2875199999999989</v>
          </cell>
          <cell r="G10">
            <v>0.54815999999999998</v>
          </cell>
          <cell r="H10">
            <v>720</v>
          </cell>
        </row>
        <row r="11">
          <cell r="C11">
            <v>2.2300000000000004</v>
          </cell>
          <cell r="D11">
            <v>5.3205895463040003</v>
          </cell>
          <cell r="E11">
            <v>4.7999999999999829</v>
          </cell>
          <cell r="F11">
            <v>7.3584000000000005</v>
          </cell>
          <cell r="G11">
            <v>0.13324800000000001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520</v>
          </cell>
        </row>
        <row r="13">
          <cell r="G13">
            <v>530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44523</v>
          </cell>
        </row>
        <row r="26">
          <cell r="D26">
            <v>16.3</v>
          </cell>
          <cell r="E26">
            <v>7.2050000000000001</v>
          </cell>
        </row>
        <row r="27">
          <cell r="E27">
            <v>6.97</v>
          </cell>
        </row>
        <row r="28">
          <cell r="D28">
            <v>16.55</v>
          </cell>
          <cell r="E28">
            <v>6.93</v>
          </cell>
        </row>
      </sheetData>
      <sheetData sheetId="1">
        <row r="9">
          <cell r="C9">
            <v>208.5</v>
          </cell>
          <cell r="D9">
            <v>71.237247077456004</v>
          </cell>
          <cell r="E9">
            <v>179.99999999999972</v>
          </cell>
          <cell r="F9">
            <v>34.478400000000001</v>
          </cell>
          <cell r="G9">
            <v>3.996</v>
          </cell>
          <cell r="H9">
            <v>180000</v>
          </cell>
        </row>
        <row r="10">
          <cell r="C10">
            <v>13.537500000000001</v>
          </cell>
          <cell r="D10">
            <v>13.368788864523999</v>
          </cell>
          <cell r="E10">
            <v>11.199999999999989</v>
          </cell>
          <cell r="F10">
            <v>8.150879999999999</v>
          </cell>
          <cell r="G10">
            <v>0.75792000000000004</v>
          </cell>
          <cell r="H10">
            <v>780</v>
          </cell>
        </row>
        <row r="11">
          <cell r="C11">
            <v>1.8000000000000007</v>
          </cell>
          <cell r="D11">
            <v>4.9368555664400002</v>
          </cell>
          <cell r="E11">
            <v>4.4000000000000057</v>
          </cell>
          <cell r="F11">
            <v>6.3705600000000002</v>
          </cell>
          <cell r="G11">
            <v>0.11208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530</v>
          </cell>
        </row>
        <row r="13">
          <cell r="G13">
            <v>543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44524</v>
          </cell>
        </row>
        <row r="26">
          <cell r="D26">
            <v>15.1</v>
          </cell>
          <cell r="E26">
            <v>7.4550000000000001</v>
          </cell>
        </row>
        <row r="27">
          <cell r="E27">
            <v>6.9649999999999999</v>
          </cell>
        </row>
        <row r="28">
          <cell r="D28">
            <v>15.149999999999999</v>
          </cell>
          <cell r="E28">
            <v>6.9050000000000002</v>
          </cell>
        </row>
      </sheetData>
      <sheetData sheetId="1">
        <row r="9">
          <cell r="C9">
            <v>229.99999999999997</v>
          </cell>
          <cell r="D9">
            <v>67.187256422567998</v>
          </cell>
          <cell r="E9">
            <v>200</v>
          </cell>
          <cell r="F9">
            <v>46.195200000000007</v>
          </cell>
          <cell r="G9">
            <v>4.1870399999999997</v>
          </cell>
          <cell r="H9">
            <v>200000</v>
          </cell>
        </row>
        <row r="10">
          <cell r="C10">
            <v>15.074999999999999</v>
          </cell>
          <cell r="D10">
            <v>4.3606755746400001</v>
          </cell>
          <cell r="E10">
            <v>14</v>
          </cell>
          <cell r="F10">
            <v>6.8452799999999998</v>
          </cell>
          <cell r="G10">
            <v>0.42158400000000001</v>
          </cell>
          <cell r="H10">
            <v>1000</v>
          </cell>
        </row>
        <row r="11">
          <cell r="C11">
            <v>1.5499999999999998</v>
          </cell>
          <cell r="D11">
            <v>1.8612816275999999</v>
          </cell>
          <cell r="E11">
            <v>4.6000000000000227</v>
          </cell>
          <cell r="F11">
            <v>6.6052800000000005</v>
          </cell>
          <cell r="G11">
            <v>0.10795199999999999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504</v>
          </cell>
        </row>
        <row r="13">
          <cell r="G13">
            <v>545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44525</v>
          </cell>
        </row>
        <row r="26">
          <cell r="D26">
            <v>14.8</v>
          </cell>
          <cell r="E26">
            <v>7.29</v>
          </cell>
        </row>
        <row r="27">
          <cell r="E27">
            <v>7</v>
          </cell>
        </row>
        <row r="28">
          <cell r="D28">
            <v>14.75</v>
          </cell>
          <cell r="E28">
            <v>6.9450000000000003</v>
          </cell>
        </row>
      </sheetData>
      <sheetData sheetId="1">
        <row r="9">
          <cell r="C9">
            <v>171.99999999999997</v>
          </cell>
          <cell r="D9">
            <v>82.811221801076002</v>
          </cell>
          <cell r="E9">
            <v>186.66666666666694</v>
          </cell>
          <cell r="F9">
            <v>38.6616</v>
          </cell>
          <cell r="G9">
            <v>3.6576</v>
          </cell>
          <cell r="H9">
            <v>170000</v>
          </cell>
        </row>
        <row r="10">
          <cell r="C10">
            <v>14.287499999999998</v>
          </cell>
          <cell r="D10">
            <v>5.7202862112000004</v>
          </cell>
          <cell r="E10">
            <v>14</v>
          </cell>
          <cell r="F10">
            <v>7.4231999999999996</v>
          </cell>
          <cell r="G10">
            <v>0.51427199999999995</v>
          </cell>
          <cell r="H10">
            <v>820</v>
          </cell>
        </row>
        <row r="11">
          <cell r="C11">
            <v>1.6499999999999995</v>
          </cell>
          <cell r="D11">
            <v>9.7839905194799996</v>
          </cell>
          <cell r="E11">
            <v>2.4000000000000052</v>
          </cell>
          <cell r="F11">
            <v>7.8619200000000005</v>
          </cell>
          <cell r="G11">
            <v>0.13435199999999997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44503</v>
          </cell>
        </row>
        <row r="26">
          <cell r="D26">
            <v>18</v>
          </cell>
          <cell r="E26">
            <v>7.31</v>
          </cell>
        </row>
        <row r="27">
          <cell r="E27">
            <v>6.92</v>
          </cell>
        </row>
        <row r="28">
          <cell r="D28">
            <v>17.95</v>
          </cell>
          <cell r="E28">
            <v>6.8849999999999998</v>
          </cell>
        </row>
      </sheetData>
      <sheetData sheetId="1">
        <row r="9">
          <cell r="C9">
            <v>202.50000000000003</v>
          </cell>
          <cell r="D9">
            <v>92.085478085823993</v>
          </cell>
          <cell r="E9">
            <v>193.33333333333323</v>
          </cell>
          <cell r="F9">
            <v>39.801600000000008</v>
          </cell>
          <cell r="G9">
            <v>4.5494400000000006</v>
          </cell>
          <cell r="H9">
            <v>170000</v>
          </cell>
        </row>
        <row r="10">
          <cell r="C10">
            <v>18.637499999999996</v>
          </cell>
          <cell r="D10">
            <v>6.3497769346680002</v>
          </cell>
          <cell r="E10">
            <v>17.199999999999989</v>
          </cell>
          <cell r="F10">
            <v>10.484640000000001</v>
          </cell>
          <cell r="G10">
            <v>0.56059200000000009</v>
          </cell>
          <cell r="H10">
            <v>710</v>
          </cell>
        </row>
        <row r="11">
          <cell r="C11">
            <v>2.67</v>
          </cell>
          <cell r="D11">
            <v>3.9326420406759999</v>
          </cell>
          <cell r="E11">
            <v>4</v>
          </cell>
          <cell r="F11">
            <v>6.0196800000000001</v>
          </cell>
          <cell r="G11">
            <v>0.10430399999999999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541</v>
          </cell>
        </row>
        <row r="13">
          <cell r="G13">
            <v>509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44526</v>
          </cell>
        </row>
        <row r="26">
          <cell r="D26">
            <v>14.5</v>
          </cell>
          <cell r="E26">
            <v>7.23</v>
          </cell>
        </row>
        <row r="27">
          <cell r="E27">
            <v>6.95</v>
          </cell>
        </row>
        <row r="28">
          <cell r="D28">
            <v>14.649999999999999</v>
          </cell>
          <cell r="E28">
            <v>6.9050000000000002</v>
          </cell>
        </row>
      </sheetData>
      <sheetData sheetId="1">
        <row r="9">
          <cell r="C9">
            <v>215.49999999999997</v>
          </cell>
          <cell r="D9">
            <v>93.536308125679994</v>
          </cell>
          <cell r="E9">
            <v>203.3333333333336</v>
          </cell>
          <cell r="F9">
            <v>35.344799999999999</v>
          </cell>
          <cell r="G9">
            <v>4.4884800000000009</v>
          </cell>
          <cell r="H9">
            <v>180000</v>
          </cell>
        </row>
        <row r="10">
          <cell r="C10">
            <v>13.349999999999998</v>
          </cell>
          <cell r="D10">
            <v>9.0805789848960003</v>
          </cell>
          <cell r="E10">
            <v>15.199999999999989</v>
          </cell>
          <cell r="F10">
            <v>8.2896000000000001</v>
          </cell>
          <cell r="G10">
            <v>0.78014399999999995</v>
          </cell>
          <cell r="H10">
            <v>690</v>
          </cell>
        </row>
        <row r="11">
          <cell r="C11">
            <v>1.8400000000000007</v>
          </cell>
          <cell r="D11">
            <v>5.1595030965759996</v>
          </cell>
          <cell r="E11">
            <v>4.4000000000000057</v>
          </cell>
          <cell r="F11">
            <v>6.2328000000000001</v>
          </cell>
          <cell r="G11">
            <v>0.12383999999999999</v>
          </cell>
          <cell r="H11">
            <v>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511</v>
          </cell>
        </row>
        <row r="13">
          <cell r="G13">
            <v>560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44527</v>
          </cell>
        </row>
        <row r="26">
          <cell r="D26">
            <v>14.1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14.3</v>
          </cell>
          <cell r="E28">
            <v>6.9450000000000003</v>
          </cell>
        </row>
      </sheetData>
      <sheetData sheetId="1">
        <row r="9">
          <cell r="C9">
            <v>166.5</v>
          </cell>
          <cell r="D9">
            <v>96.648104260403997</v>
          </cell>
          <cell r="E9">
            <v>166.66666666666666</v>
          </cell>
          <cell r="F9">
            <v>34.670399999999994</v>
          </cell>
          <cell r="G9">
            <v>4.3987199999999991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3.0200000000000005</v>
          </cell>
          <cell r="D11">
            <v>4.4652856318160001</v>
          </cell>
          <cell r="E11">
            <v>4.2</v>
          </cell>
          <cell r="F11">
            <v>5.4729999999999999</v>
          </cell>
          <cell r="G11">
            <v>0.125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513</v>
          </cell>
        </row>
        <row r="13">
          <cell r="G13">
            <v>519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44528</v>
          </cell>
        </row>
        <row r="26">
          <cell r="D26">
            <v>14.05</v>
          </cell>
          <cell r="E26">
            <v>7.39</v>
          </cell>
        </row>
        <row r="27">
          <cell r="E27">
            <v>0</v>
          </cell>
        </row>
        <row r="28">
          <cell r="D28">
            <v>14.350000000000001</v>
          </cell>
          <cell r="E28">
            <v>6.94</v>
          </cell>
        </row>
      </sheetData>
      <sheetData sheetId="1">
        <row r="9">
          <cell r="C9">
            <v>186.49999999999997</v>
          </cell>
          <cell r="D9">
            <v>84.622966017148002</v>
          </cell>
          <cell r="E9">
            <v>206.66666666666677</v>
          </cell>
          <cell r="F9">
            <v>35.901600000000002</v>
          </cell>
          <cell r="G9">
            <v>4.24512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2.9099999999999993</v>
          </cell>
          <cell r="D11">
            <v>5.0323301910440001</v>
          </cell>
          <cell r="E11">
            <v>4.2</v>
          </cell>
          <cell r="F11">
            <v>5.5490000000000004</v>
          </cell>
          <cell r="G11">
            <v>0.10224</v>
          </cell>
          <cell r="H11">
            <v>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520</v>
          </cell>
        </row>
        <row r="13">
          <cell r="G13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44529</v>
          </cell>
        </row>
        <row r="26">
          <cell r="D26">
            <v>14</v>
          </cell>
          <cell r="E26">
            <v>7.1050000000000004</v>
          </cell>
        </row>
        <row r="27">
          <cell r="E27">
            <v>7.02</v>
          </cell>
        </row>
        <row r="28">
          <cell r="D28">
            <v>14.149999999999999</v>
          </cell>
          <cell r="E28">
            <v>6.93</v>
          </cell>
        </row>
      </sheetData>
      <sheetData sheetId="1">
        <row r="9">
          <cell r="C9">
            <v>206.99999999999997</v>
          </cell>
          <cell r="D9">
            <v>104.97007342288001</v>
          </cell>
          <cell r="E9">
            <v>223.33333333333343</v>
          </cell>
          <cell r="F9">
            <v>35.448</v>
          </cell>
          <cell r="G9">
            <v>4.5350399999999995</v>
          </cell>
          <cell r="H9">
            <v>210000</v>
          </cell>
        </row>
        <row r="10">
          <cell r="C10">
            <v>15.487499999999999</v>
          </cell>
          <cell r="D10">
            <v>9.6007022987680006</v>
          </cell>
          <cell r="E10">
            <v>14.399999999999979</v>
          </cell>
          <cell r="F10">
            <v>7.5648</v>
          </cell>
          <cell r="G10">
            <v>0.41140800000000005</v>
          </cell>
          <cell r="H10">
            <v>840</v>
          </cell>
        </row>
        <row r="11">
          <cell r="C11">
            <v>2.2200000000000006</v>
          </cell>
          <cell r="D11">
            <v>5.3983983114239997</v>
          </cell>
          <cell r="E11">
            <v>4.5999999999999943</v>
          </cell>
          <cell r="F11">
            <v>7.3742400000000004</v>
          </cell>
          <cell r="G11">
            <v>0.10377600000000001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489</v>
          </cell>
        </row>
        <row r="13">
          <cell r="G13">
            <v>522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44530</v>
          </cell>
        </row>
        <row r="26">
          <cell r="D26">
            <v>16</v>
          </cell>
          <cell r="E26">
            <v>7.43</v>
          </cell>
        </row>
        <row r="27">
          <cell r="E27">
            <v>6.9850000000000003</v>
          </cell>
        </row>
        <row r="28">
          <cell r="D28">
            <v>16.05</v>
          </cell>
          <cell r="E28">
            <v>6.91</v>
          </cell>
        </row>
      </sheetData>
      <sheetData sheetId="1">
        <row r="9">
          <cell r="C9">
            <v>171.99999999999997</v>
          </cell>
          <cell r="D9">
            <v>71.283270809903996</v>
          </cell>
          <cell r="E9">
            <v>179.99999999999972</v>
          </cell>
          <cell r="F9">
            <v>35.827200000000005</v>
          </cell>
          <cell r="G9">
            <v>4.5211199999999998</v>
          </cell>
          <cell r="H9">
            <v>130000</v>
          </cell>
        </row>
        <row r="10">
          <cell r="C10">
            <v>12.824999999999996</v>
          </cell>
          <cell r="D10">
            <v>9.9932245377219999</v>
          </cell>
          <cell r="E10">
            <v>17.199999999999989</v>
          </cell>
          <cell r="F10">
            <v>6.5476799999999997</v>
          </cell>
          <cell r="G10">
            <v>0.43348799999999998</v>
          </cell>
          <cell r="H10">
            <v>510</v>
          </cell>
        </row>
        <row r="11">
          <cell r="C11">
            <v>2.2499999999999991</v>
          </cell>
          <cell r="D11">
            <v>4.7381360420240002</v>
          </cell>
          <cell r="E11">
            <v>4.6000000000000227</v>
          </cell>
          <cell r="F11">
            <v>7.4380799999999994</v>
          </cell>
          <cell r="G11">
            <v>0.10535999999999998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514</v>
          </cell>
        </row>
        <row r="13">
          <cell r="G13">
            <v>551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444</v>
          </cell>
        </row>
        <row r="13">
          <cell r="G13">
            <v>658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44504</v>
          </cell>
        </row>
        <row r="26">
          <cell r="D26">
            <v>18.100000000000001</v>
          </cell>
          <cell r="E26">
            <v>7.47</v>
          </cell>
        </row>
        <row r="27">
          <cell r="E27">
            <v>6.96</v>
          </cell>
        </row>
        <row r="28">
          <cell r="D28">
            <v>18.149999999999999</v>
          </cell>
          <cell r="E28">
            <v>6.9050000000000002</v>
          </cell>
        </row>
      </sheetData>
      <sheetData sheetId="1">
        <row r="9">
          <cell r="C9">
            <v>180.50000000000003</v>
          </cell>
          <cell r="D9">
            <v>71.622551309848006</v>
          </cell>
          <cell r="E9">
            <v>179.99999999999972</v>
          </cell>
          <cell r="F9">
            <v>38.839199999999998</v>
          </cell>
          <cell r="G9">
            <v>4.5537600000000005</v>
          </cell>
          <cell r="H9">
            <v>190000</v>
          </cell>
        </row>
        <row r="10">
          <cell r="C10">
            <v>18.45</v>
          </cell>
          <cell r="D10">
            <v>6.9355600589339996</v>
          </cell>
          <cell r="E10">
            <v>18.800000000000011</v>
          </cell>
          <cell r="F10">
            <v>8.6256000000000004</v>
          </cell>
          <cell r="G10">
            <v>0.54038400000000009</v>
          </cell>
          <cell r="H10">
            <v>750</v>
          </cell>
        </row>
        <row r="11">
          <cell r="C11">
            <v>2.2300000000000004</v>
          </cell>
          <cell r="D11">
            <v>5.9179925951880001</v>
          </cell>
          <cell r="E11">
            <v>3.8000000000000114</v>
          </cell>
          <cell r="F11">
            <v>7.2585600000000001</v>
          </cell>
          <cell r="G11">
            <v>0.15259199999999998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548</v>
          </cell>
        </row>
        <row r="13">
          <cell r="G13">
            <v>568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44505</v>
          </cell>
        </row>
        <row r="26">
          <cell r="D26">
            <v>18</v>
          </cell>
          <cell r="E26">
            <v>7.5049999999999999</v>
          </cell>
        </row>
        <row r="27">
          <cell r="E27">
            <v>6.97</v>
          </cell>
        </row>
        <row r="28">
          <cell r="D28">
            <v>18.149999999999999</v>
          </cell>
          <cell r="E28">
            <v>6.9450000000000003</v>
          </cell>
        </row>
      </sheetData>
      <sheetData sheetId="1">
        <row r="9">
          <cell r="C9">
            <v>222.99999999999994</v>
          </cell>
          <cell r="D9">
            <v>97.643298703515995</v>
          </cell>
          <cell r="E9">
            <v>210.00000000000037</v>
          </cell>
          <cell r="F9">
            <v>35.188800000000001</v>
          </cell>
          <cell r="G9">
            <v>5.0438400000000003</v>
          </cell>
          <cell r="H9">
            <v>190000</v>
          </cell>
        </row>
        <row r="10">
          <cell r="C10">
            <v>16.125000000000004</v>
          </cell>
          <cell r="D10">
            <v>7.2800967630900004</v>
          </cell>
          <cell r="E10">
            <v>18</v>
          </cell>
          <cell r="F10">
            <v>5.3995199999999999</v>
          </cell>
          <cell r="G10">
            <v>0.6297600000000001</v>
          </cell>
          <cell r="H10">
            <v>910</v>
          </cell>
        </row>
        <row r="11">
          <cell r="C11">
            <v>2.7699999999999996</v>
          </cell>
          <cell r="D11">
            <v>6.0534195899299998</v>
          </cell>
          <cell r="E11">
            <v>3.1999999999999886</v>
          </cell>
          <cell r="F11">
            <v>6.4483200000000007</v>
          </cell>
          <cell r="G11">
            <v>0.221856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view="pageBreakPreview" zoomScaleSheetLayoutView="100" workbookViewId="0">
      <pane xSplit="1" ySplit="3" topLeftCell="B4" activePane="bottomRight" state="frozen"/>
      <selection activeCell="D33" sqref="D33"/>
      <selection pane="topRight" activeCell="D33" sqref="D33"/>
      <selection pane="bottomLeft" activeCell="D33" sqref="D33"/>
      <selection pane="bottomRight" activeCell="L11" sqref="L11"/>
    </sheetView>
  </sheetViews>
  <sheetFormatPr defaultRowHeight="16.5"/>
  <cols>
    <col min="1" max="1" width="9.875" bestFit="1" customWidth="1"/>
    <col min="2" max="2" width="9" style="114"/>
    <col min="3" max="3" width="9" style="115"/>
    <col min="4" max="5" width="9" style="114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6" t="s">
        <v>24</v>
      </c>
      <c r="B1" s="116"/>
      <c r="C1" s="116"/>
      <c r="D1" s="116"/>
      <c r="E1" s="116"/>
      <c r="F1" s="116"/>
      <c r="G1" s="116"/>
      <c r="H1" s="116"/>
      <c r="I1" s="116"/>
    </row>
    <row r="2" spans="1:13" ht="20.100000000000001" customHeight="1">
      <c r="A2" s="117" t="s">
        <v>14</v>
      </c>
      <c r="B2" s="119" t="s">
        <v>12</v>
      </c>
      <c r="C2" s="120"/>
      <c r="D2" s="120"/>
      <c r="E2" s="120"/>
      <c r="F2" s="120"/>
      <c r="G2" s="120"/>
      <c r="H2" s="120"/>
      <c r="I2" s="121"/>
    </row>
    <row r="3" spans="1:13" ht="24.95" customHeight="1" thickBot="1">
      <c r="A3" s="118"/>
      <c r="B3" s="100" t="s">
        <v>3</v>
      </c>
      <c r="C3" s="101" t="s">
        <v>4</v>
      </c>
      <c r="D3" s="100" t="s">
        <v>23</v>
      </c>
      <c r="E3" s="10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44501</v>
      </c>
      <c r="B4" s="102">
        <f>[1]일반사항!$E$26</f>
        <v>7.42</v>
      </c>
      <c r="C4" s="103">
        <f>[1]실험기록부!$C$9</f>
        <v>179.99999999999994</v>
      </c>
      <c r="D4" s="102">
        <f>[1]실험기록부!$D$9</f>
        <v>88.083440972792005</v>
      </c>
      <c r="E4" s="104">
        <f>[1]실험기록부!$E$9</f>
        <v>159.99999999999991</v>
      </c>
      <c r="F4" s="23">
        <f>[1]실험기록부!$F$9</f>
        <v>55.2072</v>
      </c>
      <c r="G4" s="23">
        <f>[1]실험기록부!$G$9</f>
        <v>5.532</v>
      </c>
      <c r="H4" s="24">
        <f>[1]실험기록부!$H$9</f>
        <v>140000</v>
      </c>
      <c r="I4" s="26">
        <f>[2]커버3!$G$12</f>
        <v>511</v>
      </c>
      <c r="J4" s="96">
        <f>[1]일반사항!$D$26</f>
        <v>18.05</v>
      </c>
    </row>
    <row r="5" spans="1:13" ht="20.100000000000001" customHeight="1">
      <c r="A5" s="25">
        <f>[3]일반사항!$B$4</f>
        <v>44502</v>
      </c>
      <c r="B5" s="105">
        <f>[3]일반사항!$E$26</f>
        <v>7.5049999999999999</v>
      </c>
      <c r="C5" s="106">
        <f>[3]실험기록부!$C$9</f>
        <v>213.99999999999997</v>
      </c>
      <c r="D5" s="105">
        <f>[3]실험기록부!$D$9</f>
        <v>103.495219481456</v>
      </c>
      <c r="E5" s="107">
        <f>[3]실험기록부!$E$9</f>
        <v>210.00000000000037</v>
      </c>
      <c r="F5" s="19">
        <f>[3]실험기록부!$F$9</f>
        <v>38.354399999999998</v>
      </c>
      <c r="G5" s="19">
        <f>[3]실험기록부!$G$9</f>
        <v>4.7155199999999997</v>
      </c>
      <c r="H5" s="20">
        <f>[3]실험기록부!$H$9</f>
        <v>190000</v>
      </c>
      <c r="I5" s="27">
        <f>[4]커버3!$G$12</f>
        <v>507</v>
      </c>
      <c r="J5" s="96">
        <f>[3]일반사항!$D$26</f>
        <v>18.100000000000001</v>
      </c>
    </row>
    <row r="6" spans="1:13" ht="20.100000000000001" customHeight="1">
      <c r="A6" s="25">
        <f>[5]일반사항!$B$4</f>
        <v>44503</v>
      </c>
      <c r="B6" s="105">
        <f>[5]일반사항!$E$26</f>
        <v>7.31</v>
      </c>
      <c r="C6" s="106">
        <f>[5]실험기록부!$C$9</f>
        <v>202.50000000000003</v>
      </c>
      <c r="D6" s="105">
        <f>[5]실험기록부!$D$9</f>
        <v>92.085478085823993</v>
      </c>
      <c r="E6" s="107">
        <f>[5]실험기록부!$E$9</f>
        <v>193.33333333333323</v>
      </c>
      <c r="F6" s="19">
        <f>[5]실험기록부!$F$9</f>
        <v>39.801600000000008</v>
      </c>
      <c r="G6" s="19">
        <f>[5]실험기록부!$G$9</f>
        <v>4.5494400000000006</v>
      </c>
      <c r="H6" s="20">
        <f>[5]실험기록부!$H$9</f>
        <v>170000</v>
      </c>
      <c r="I6" s="27">
        <f>[6]커버3!$G$12</f>
        <v>514</v>
      </c>
      <c r="J6" s="96">
        <f>[5]일반사항!$D$26</f>
        <v>18</v>
      </c>
    </row>
    <row r="7" spans="1:13" ht="20.100000000000001" customHeight="1">
      <c r="A7" s="25">
        <f>[7]일반사항!$B$4</f>
        <v>44504</v>
      </c>
      <c r="B7" s="105">
        <f>[7]일반사항!$E$26</f>
        <v>7.47</v>
      </c>
      <c r="C7" s="106">
        <f>[7]실험기록부!$C$9</f>
        <v>180.50000000000003</v>
      </c>
      <c r="D7" s="105">
        <f>[7]실험기록부!$D$9</f>
        <v>71.622551309848006</v>
      </c>
      <c r="E7" s="107">
        <f>[7]실험기록부!$E$9</f>
        <v>179.99999999999972</v>
      </c>
      <c r="F7" s="19">
        <f>[7]실험기록부!$F$9</f>
        <v>38.839199999999998</v>
      </c>
      <c r="G7" s="19">
        <f>[7]실험기록부!$G$9</f>
        <v>4.5537600000000005</v>
      </c>
      <c r="H7" s="20">
        <f>[7]실험기록부!$H$9</f>
        <v>190000</v>
      </c>
      <c r="I7" s="27">
        <f>[8]커버3!$G$12</f>
        <v>548</v>
      </c>
      <c r="J7" s="96">
        <f>[7]일반사항!$D$26</f>
        <v>18.100000000000001</v>
      </c>
    </row>
    <row r="8" spans="1:13" ht="20.100000000000001" customHeight="1">
      <c r="A8" s="25">
        <f>[9]일반사항!$B$4</f>
        <v>44505</v>
      </c>
      <c r="B8" s="105">
        <f>[9]일반사항!$E$26</f>
        <v>7.5049999999999999</v>
      </c>
      <c r="C8" s="106">
        <f>[9]실험기록부!$C$9</f>
        <v>222.99999999999994</v>
      </c>
      <c r="D8" s="105">
        <f>[9]실험기록부!$D$9</f>
        <v>97.643298703515995</v>
      </c>
      <c r="E8" s="107">
        <f>[9]실험기록부!$E$9</f>
        <v>210.00000000000037</v>
      </c>
      <c r="F8" s="19">
        <f>[9]실험기록부!$F$9</f>
        <v>35.188800000000001</v>
      </c>
      <c r="G8" s="19">
        <f>[9]실험기록부!$G$9</f>
        <v>5.0438400000000003</v>
      </c>
      <c r="H8" s="20">
        <f>[9]실험기록부!$H$9</f>
        <v>190000</v>
      </c>
      <c r="I8" s="27">
        <f>[10]커버3!$G$12</f>
        <v>507</v>
      </c>
      <c r="J8" s="96">
        <f>[9]일반사항!$D$26</f>
        <v>18</v>
      </c>
    </row>
    <row r="9" spans="1:13" ht="20.100000000000001" customHeight="1">
      <c r="A9" s="25">
        <f>[11]일반사항!$B$4</f>
        <v>44506</v>
      </c>
      <c r="B9" s="105">
        <f>[11]일반사항!$E$26</f>
        <v>7.24</v>
      </c>
      <c r="C9" s="106">
        <f>[11]실험기록부!$C$9</f>
        <v>238.99999999999997</v>
      </c>
      <c r="D9" s="105">
        <f>[11]실험기록부!$D$9</f>
        <v>99.098629997703995</v>
      </c>
      <c r="E9" s="107">
        <f>[11]실험기록부!$E$9</f>
        <v>203.33333333333314</v>
      </c>
      <c r="F9" s="19">
        <f>[11]실험기록부!$F$9</f>
        <v>45.720000000000006</v>
      </c>
      <c r="G9" s="19">
        <f>[11]실험기록부!$G$9</f>
        <v>4.3228799999999996</v>
      </c>
      <c r="H9" s="20">
        <f>[11]실험기록부!$H$9</f>
        <v>180000</v>
      </c>
      <c r="I9" s="27">
        <f>[12]커버3!$G$12</f>
        <v>533</v>
      </c>
      <c r="J9" s="96">
        <f>[11]일반사항!$D$26</f>
        <v>17.899999999999999</v>
      </c>
      <c r="M9" t="s">
        <v>15</v>
      </c>
    </row>
    <row r="10" spans="1:13" ht="20.100000000000001" customHeight="1">
      <c r="A10" s="25">
        <f>[13]일반사항!$B$4</f>
        <v>44507</v>
      </c>
      <c r="B10" s="105">
        <f>[13]일반사항!$E$26</f>
        <v>7.39</v>
      </c>
      <c r="C10" s="106">
        <f>[13]실험기록부!$C$9</f>
        <v>168.50000000000006</v>
      </c>
      <c r="D10" s="105">
        <f>[13]실험기록부!$D$9</f>
        <v>95.922732201735997</v>
      </c>
      <c r="E10" s="107">
        <f>[13]실험기록부!$E$9</f>
        <v>156.66666666666677</v>
      </c>
      <c r="F10" s="19">
        <f>[13]실험기록부!$F$9</f>
        <v>39.134400000000007</v>
      </c>
      <c r="G10" s="19">
        <f>[13]실험기록부!$G$9</f>
        <v>4.1112000000000002</v>
      </c>
      <c r="H10" s="20">
        <f>[13]실험기록부!$H$9</f>
        <v>140000</v>
      </c>
      <c r="I10" s="27">
        <f>[14]커버3!$G$12</f>
        <v>526</v>
      </c>
      <c r="J10" s="96">
        <f>[13]일반사항!$D$26</f>
        <v>17.850000000000001</v>
      </c>
      <c r="M10" t="s">
        <v>16</v>
      </c>
    </row>
    <row r="11" spans="1:13" ht="20.100000000000001" customHeight="1">
      <c r="A11" s="25">
        <f>[15]일반사항!$B$4</f>
        <v>44508</v>
      </c>
      <c r="B11" s="105">
        <f>[15]일반사항!$E$26</f>
        <v>7.5449999999999999</v>
      </c>
      <c r="C11" s="106">
        <f>[15]실험기록부!$C$9</f>
        <v>155.00000000000003</v>
      </c>
      <c r="D11" s="105">
        <f>[15]실험기록부!$D$9</f>
        <v>104.202280346992</v>
      </c>
      <c r="E11" s="107">
        <f>[15]실험기록부!$E$9</f>
        <v>139.99999999999963</v>
      </c>
      <c r="F11" s="19">
        <f>[15]실험기록부!$F$9</f>
        <v>39.105599999999995</v>
      </c>
      <c r="G11" s="19">
        <f>[15]실험기록부!$G$9</f>
        <v>4.4380800000000011</v>
      </c>
      <c r="H11" s="20">
        <f>[15]실험기록부!$H$9</f>
        <v>140000</v>
      </c>
      <c r="I11" s="27">
        <f>[16]커버3!$G$12</f>
        <v>552</v>
      </c>
      <c r="J11" s="96">
        <f>[15]일반사항!$D$26</f>
        <v>17.399999999999999</v>
      </c>
      <c r="M11" t="s">
        <v>17</v>
      </c>
    </row>
    <row r="12" spans="1:13" ht="20.100000000000001" customHeight="1">
      <c r="A12" s="25">
        <f>[17]일반사항!$B$4</f>
        <v>44509</v>
      </c>
      <c r="B12" s="105">
        <f>[17]일반사항!$E$26</f>
        <v>7.2750000000000004</v>
      </c>
      <c r="C12" s="106">
        <f>[17]실험기록부!$C$9</f>
        <v>180.99999999999997</v>
      </c>
      <c r="D12" s="105">
        <f>[17]실험기록부!$D$9</f>
        <v>97.327263421287995</v>
      </c>
      <c r="E12" s="107">
        <f>[17]실험기록부!$E$9</f>
        <v>186.66666666666649</v>
      </c>
      <c r="F12" s="19">
        <f>[17]실험기록부!$F$9</f>
        <v>40.588799999999999</v>
      </c>
      <c r="G12" s="19">
        <f>[17]실험기록부!$G$9</f>
        <v>3.5836800000000002</v>
      </c>
      <c r="H12" s="20">
        <f>[17]실험기록부!$H$9</f>
        <v>160000</v>
      </c>
      <c r="I12" s="27">
        <f>[18]커버3!$G$12</f>
        <v>530</v>
      </c>
      <c r="J12" s="96">
        <f>[17]일반사항!$D$26</f>
        <v>17.3</v>
      </c>
      <c r="M12" t="s">
        <v>18</v>
      </c>
    </row>
    <row r="13" spans="1:13" ht="20.100000000000001" customHeight="1">
      <c r="A13" s="25">
        <f>[19]일반사항!$B$4</f>
        <v>44510</v>
      </c>
      <c r="B13" s="105">
        <f>[19]일반사항!$E$26</f>
        <v>7.4950000000000001</v>
      </c>
      <c r="C13" s="106">
        <f>[19]실험기록부!$C$9</f>
        <v>165</v>
      </c>
      <c r="D13" s="105">
        <f>[19]실험기록부!$D$9</f>
        <v>90.249714627931994</v>
      </c>
      <c r="E13" s="107">
        <f>[19]실험기록부!$E$9</f>
        <v>186.66666666666649</v>
      </c>
      <c r="F13" s="19">
        <f>[19]실험기록부!$F$9</f>
        <v>43.466399999999993</v>
      </c>
      <c r="G13" s="19">
        <f>[19]실험기록부!$G$9</f>
        <v>4.7121599999999999</v>
      </c>
      <c r="H13" s="20">
        <f>[19]실험기록부!$H$9</f>
        <v>130000</v>
      </c>
      <c r="I13" s="27">
        <f>[20]커버3!$G$12</f>
        <v>520</v>
      </c>
      <c r="J13" s="96">
        <f>[19]일반사항!$D$26</f>
        <v>17</v>
      </c>
      <c r="M13" t="s">
        <v>19</v>
      </c>
    </row>
    <row r="14" spans="1:13" ht="20.100000000000001" customHeight="1">
      <c r="A14" s="25">
        <f>[21]일반사항!$B$4</f>
        <v>44511</v>
      </c>
      <c r="B14" s="105">
        <f>[21]일반사항!$E$26</f>
        <v>7.1950000000000003</v>
      </c>
      <c r="C14" s="106">
        <f>[21]실험기록부!$C$9</f>
        <v>203.5</v>
      </c>
      <c r="D14" s="105">
        <f>[21]실험기록부!$D$9</f>
        <v>63.02081646976</v>
      </c>
      <c r="E14" s="107">
        <f>[21]실험기록부!$E$9</f>
        <v>210.00000000000037</v>
      </c>
      <c r="F14" s="19">
        <f>[21]실험기록부!$F$9</f>
        <v>33.717599999999997</v>
      </c>
      <c r="G14" s="19">
        <f>[21]실험기록부!$G$9</f>
        <v>4.83744</v>
      </c>
      <c r="H14" s="20">
        <f>[21]실험기록부!$H$9</f>
        <v>220000</v>
      </c>
      <c r="I14" s="27">
        <f>[22]커버3!$G$12</f>
        <v>529</v>
      </c>
      <c r="J14" s="96">
        <f>[21]일반사항!$D$26</f>
        <v>17.600000000000001</v>
      </c>
      <c r="M14" t="s">
        <v>20</v>
      </c>
    </row>
    <row r="15" spans="1:13" ht="20.100000000000001" customHeight="1">
      <c r="A15" s="25">
        <f>[23]일반사항!$B$4</f>
        <v>44512</v>
      </c>
      <c r="B15" s="105">
        <f>[23]일반사항!$E$26</f>
        <v>7.4050000000000002</v>
      </c>
      <c r="C15" s="106">
        <f>[23]실험기록부!$C$9</f>
        <v>223.50000000000003</v>
      </c>
      <c r="D15" s="105">
        <f>[23]실험기록부!$D$9</f>
        <v>91.119084687444001</v>
      </c>
      <c r="E15" s="107">
        <f>[23]실험기록부!$E$9</f>
        <v>203.33333333333314</v>
      </c>
      <c r="F15" s="19">
        <f>[23]실험기록부!$F$9</f>
        <v>39.499199999999995</v>
      </c>
      <c r="G15" s="19">
        <f>[23]실험기록부!$G$9</f>
        <v>3.7300800000000001</v>
      </c>
      <c r="H15" s="20">
        <f>[23]실험기록부!$H$9</f>
        <v>180000</v>
      </c>
      <c r="I15" s="27">
        <f>[24]커버3!$G$12</f>
        <v>535</v>
      </c>
      <c r="J15" s="96">
        <f>[23]일반사항!$D$26</f>
        <v>17.5</v>
      </c>
    </row>
    <row r="16" spans="1:13" ht="20.100000000000001" customHeight="1">
      <c r="A16" s="25">
        <f>[25]일반사항!$B$4</f>
        <v>44513</v>
      </c>
      <c r="B16" s="105">
        <f>[25]일반사항!$E$26</f>
        <v>7.38</v>
      </c>
      <c r="C16" s="106">
        <f>[25]실험기록부!$C$9</f>
        <v>188</v>
      </c>
      <c r="D16" s="105">
        <f>[25]실험기록부!$D$9</f>
        <v>105.83229768154</v>
      </c>
      <c r="E16" s="107">
        <f>[25]실험기록부!$E$9</f>
        <v>193.33333333333368</v>
      </c>
      <c r="F16" s="19">
        <f>[25]실험기록부!$F$9</f>
        <v>40.344000000000001</v>
      </c>
      <c r="G16" s="19">
        <f>[25]실험기록부!$G$9</f>
        <v>4.1904000000000003</v>
      </c>
      <c r="H16" s="20">
        <f>[25]실험기록부!$H$9</f>
        <v>170000</v>
      </c>
      <c r="I16" s="27">
        <f>[26]커버3!$G$12</f>
        <v>530</v>
      </c>
      <c r="J16" s="96">
        <f>[25]일반사항!$D$26</f>
        <v>17.05</v>
      </c>
    </row>
    <row r="17" spans="1:10" ht="20.100000000000001" customHeight="1">
      <c r="A17" s="25">
        <f>[27]일반사항!$B$4</f>
        <v>44514</v>
      </c>
      <c r="B17" s="105">
        <f>[27]일반사항!$E$26</f>
        <v>7.23</v>
      </c>
      <c r="C17" s="106">
        <f>[27]실험기록부!$C$9</f>
        <v>202.99999999999997</v>
      </c>
      <c r="D17" s="105">
        <f>[27]실험기록부!$D$9</f>
        <v>99.180685925152005</v>
      </c>
      <c r="E17" s="107">
        <f>[27]실험기록부!$E$9</f>
        <v>173.33333333333343</v>
      </c>
      <c r="F17" s="19">
        <f>[27]실험기록부!$F$9</f>
        <v>44.911200000000008</v>
      </c>
      <c r="G17" s="19">
        <f>[27]실험기록부!$G$9</f>
        <v>4.4328000000000003</v>
      </c>
      <c r="H17" s="20">
        <f>[27]실험기록부!$H$9</f>
        <v>190000</v>
      </c>
      <c r="I17" s="27">
        <f>[28]커버3!$G$12</f>
        <v>542</v>
      </c>
      <c r="J17" s="96">
        <f>[27]일반사항!$D$26</f>
        <v>17.2</v>
      </c>
    </row>
    <row r="18" spans="1:10" ht="20.100000000000001" customHeight="1">
      <c r="A18" s="25">
        <f>[29]일반사항!$B$4</f>
        <v>44515</v>
      </c>
      <c r="B18" s="105">
        <f>[29]일반사항!$E$26</f>
        <v>7.4</v>
      </c>
      <c r="C18" s="106">
        <f>[29]실험기록부!$C$9</f>
        <v>215.49999999999997</v>
      </c>
      <c r="D18" s="105">
        <f>[29]실험기록부!$D$9</f>
        <v>109.65045009016001</v>
      </c>
      <c r="E18" s="107">
        <f>[29]실험기록부!$E$9</f>
        <v>193.33333333333323</v>
      </c>
      <c r="F18" s="19">
        <f>[29]실험기록부!$F$9</f>
        <v>34.704000000000001</v>
      </c>
      <c r="G18" s="19">
        <f>[29]실험기록부!$G$9</f>
        <v>5.1835199999999997</v>
      </c>
      <c r="H18" s="20">
        <f>[29]실험기록부!$H$9</f>
        <v>200000</v>
      </c>
      <c r="I18" s="27">
        <f>[30]커버3!$G$12</f>
        <v>498</v>
      </c>
      <c r="J18" s="96">
        <f>[29]일반사항!$D$26</f>
        <v>17.100000000000001</v>
      </c>
    </row>
    <row r="19" spans="1:10" ht="20.100000000000001" customHeight="1">
      <c r="A19" s="25">
        <f>[31]일반사항!$B$4</f>
        <v>44516</v>
      </c>
      <c r="B19" s="105">
        <f>[31]일반사항!$E$26</f>
        <v>7.33</v>
      </c>
      <c r="C19" s="106">
        <f>[31]실험기록부!$C$9</f>
        <v>190.99999999999997</v>
      </c>
      <c r="D19" s="105">
        <f>[31]실험기록부!$D$9</f>
        <v>100.262735870432</v>
      </c>
      <c r="E19" s="107">
        <f>[31]실험기록부!$E$9</f>
        <v>183.33333333333334</v>
      </c>
      <c r="F19" s="19">
        <f>[31]실험기록부!$F$9</f>
        <v>32.140799999999999</v>
      </c>
      <c r="G19" s="19">
        <f>[31]실험기록부!$G$9</f>
        <v>4.5081599999999993</v>
      </c>
      <c r="H19" s="20">
        <f>[31]실험기록부!$H$9</f>
        <v>190000</v>
      </c>
      <c r="I19" s="27">
        <f>[32]커버3!$G$12</f>
        <v>543</v>
      </c>
      <c r="J19" s="96">
        <f>[31]일반사항!$D$26</f>
        <v>17.05</v>
      </c>
    </row>
    <row r="20" spans="1:10" ht="20.100000000000001" customHeight="1">
      <c r="A20" s="25">
        <f>[33]일반사항!$B$4</f>
        <v>44517</v>
      </c>
      <c r="B20" s="105">
        <f>[33]일반사항!$E$26</f>
        <v>7.47</v>
      </c>
      <c r="C20" s="106">
        <f>[33]실험기록부!$C$9</f>
        <v>205.99999999999997</v>
      </c>
      <c r="D20" s="105">
        <f>[33]실험기록부!$D$9</f>
        <v>82.450120984584004</v>
      </c>
      <c r="E20" s="107">
        <f>[33]실험기록부!$E$9</f>
        <v>183.33333333333334</v>
      </c>
      <c r="F20" s="19">
        <f>[33]실험기록부!$F$9</f>
        <v>31.691999999999997</v>
      </c>
      <c r="G20" s="19">
        <f>[33]실험기록부!$G$9</f>
        <v>3.8159999999999998</v>
      </c>
      <c r="H20" s="20">
        <f>[33]실험기록부!$H$9</f>
        <v>220000</v>
      </c>
      <c r="I20" s="27">
        <f>[34]커버3!$G$12</f>
        <v>518</v>
      </c>
      <c r="J20" s="96">
        <f>[33]일반사항!$D$26</f>
        <v>16.899999999999999</v>
      </c>
    </row>
    <row r="21" spans="1:10" ht="20.100000000000001" customHeight="1">
      <c r="A21" s="25">
        <f>[35]일반사항!$B$4</f>
        <v>44518</v>
      </c>
      <c r="B21" s="105">
        <f>[35]일반사항!$E$26</f>
        <v>7.27</v>
      </c>
      <c r="C21" s="106">
        <f>[35]실험기록부!$C$9</f>
        <v>174.00000000000003</v>
      </c>
      <c r="D21" s="105">
        <f>[35]실험기록부!$D$9</f>
        <v>90.060440216255998</v>
      </c>
      <c r="E21" s="107">
        <f>[35]실험기록부!$E$9</f>
        <v>186.66666666666649</v>
      </c>
      <c r="F21" s="19">
        <f>[35]실험기록부!$F$9</f>
        <v>34.108800000000002</v>
      </c>
      <c r="G21" s="19">
        <f>[35]실험기록부!$G$9</f>
        <v>4.4481599999999997</v>
      </c>
      <c r="H21" s="20">
        <f>[35]실험기록부!$H$9</f>
        <v>160000</v>
      </c>
      <c r="I21" s="27">
        <f>[36]커버3!$G$12</f>
        <v>548</v>
      </c>
      <c r="J21" s="96">
        <f>[35]일반사항!$D$26</f>
        <v>16.899999999999999</v>
      </c>
    </row>
    <row r="22" spans="1:10" ht="20.100000000000001" customHeight="1">
      <c r="A22" s="25">
        <f>[37]일반사항!$B$4</f>
        <v>44519</v>
      </c>
      <c r="B22" s="105">
        <f>[37]일반사항!$E$26</f>
        <v>7.33</v>
      </c>
      <c r="C22" s="106">
        <f>[37]실험기록부!$C$9</f>
        <v>192</v>
      </c>
      <c r="D22" s="105">
        <f>[37]실험기록부!$D$9</f>
        <v>94.435416981928</v>
      </c>
      <c r="E22" s="107">
        <f>[37]실험기록부!$E$9</f>
        <v>226.66666666666703</v>
      </c>
      <c r="F22" s="19">
        <f>[37]실험기록부!$F$9</f>
        <v>36.036000000000001</v>
      </c>
      <c r="G22" s="19">
        <f>[37]실험기록부!$G$9</f>
        <v>5.9625600000000007</v>
      </c>
      <c r="H22" s="20">
        <f>[37]실험기록부!$H$9</f>
        <v>210000</v>
      </c>
      <c r="I22" s="27">
        <f>[38]커버3!$G$12</f>
        <v>521</v>
      </c>
      <c r="J22" s="96">
        <f>[37]일반사항!$D$26</f>
        <v>16.899999999999999</v>
      </c>
    </row>
    <row r="23" spans="1:10" ht="20.100000000000001" customHeight="1">
      <c r="A23" s="25">
        <f>[39]일반사항!$B$4</f>
        <v>44520</v>
      </c>
      <c r="B23" s="105">
        <f>[39]일반사항!$E$26</f>
        <v>7.4450000000000003</v>
      </c>
      <c r="C23" s="106">
        <f>[39]실험기록부!$C$9</f>
        <v>211</v>
      </c>
      <c r="D23" s="105">
        <f>[39]실험기록부!$D$9</f>
        <v>75.432707300079997</v>
      </c>
      <c r="E23" s="107">
        <f>[39]실험기록부!$E$9</f>
        <v>219.99999999999983</v>
      </c>
      <c r="F23" s="19">
        <f>[39]실험기록부!$F$9</f>
        <v>50.988</v>
      </c>
      <c r="G23" s="19">
        <f>[39]실험기록부!$G$9</f>
        <v>5.0068799999999998</v>
      </c>
      <c r="H23" s="20">
        <f>[39]실험기록부!$H$9</f>
        <v>180000</v>
      </c>
      <c r="I23" s="27">
        <f>[40]커버3!$G$12</f>
        <v>536</v>
      </c>
      <c r="J23" s="96">
        <f>[39]일반사항!$D$26</f>
        <v>16.8</v>
      </c>
    </row>
    <row r="24" spans="1:10" ht="20.100000000000001" customHeight="1">
      <c r="A24" s="25">
        <f>[41]일반사항!$B$4</f>
        <v>44521</v>
      </c>
      <c r="B24" s="105">
        <f>[41]일반사항!$E$26</f>
        <v>7.5049999999999999</v>
      </c>
      <c r="C24" s="106">
        <f>[41]실험기록부!$C$9</f>
        <v>165</v>
      </c>
      <c r="D24" s="105">
        <f>[41]실험기록부!$D$9</f>
        <v>77.982095301360005</v>
      </c>
      <c r="E24" s="107">
        <f>[41]실험기록부!$E$9</f>
        <v>173.33333333333343</v>
      </c>
      <c r="F24" s="19">
        <f>[41]실험기록부!$F$9</f>
        <v>41.135999999999996</v>
      </c>
      <c r="G24" s="19">
        <f>[41]실험기록부!$G$9</f>
        <v>5.3745599999999998</v>
      </c>
      <c r="H24" s="20">
        <f>[41]실험기록부!$H$9</f>
        <v>150000</v>
      </c>
      <c r="I24" s="27">
        <f>[42]커버3!$G$12</f>
        <v>535</v>
      </c>
      <c r="J24" s="96">
        <f>[41]일반사항!$D$26</f>
        <v>16.5</v>
      </c>
    </row>
    <row r="25" spans="1:10" ht="20.100000000000001" customHeight="1">
      <c r="A25" s="25">
        <f>[43]일반사항!$B$4</f>
        <v>44522</v>
      </c>
      <c r="B25" s="105">
        <f>[43]일반사항!$E$26</f>
        <v>7.4050000000000002</v>
      </c>
      <c r="C25" s="106">
        <f>[43]실험기록부!$C$9</f>
        <v>177.5</v>
      </c>
      <c r="D25" s="105">
        <f>[43]실험기록부!$D$9</f>
        <v>85.306235400640006</v>
      </c>
      <c r="E25" s="107">
        <f>[43]실험기록부!$E$9</f>
        <v>186.66666666666649</v>
      </c>
      <c r="F25" s="19">
        <f>[43]실험기록부!$F$9</f>
        <v>38.517600000000002</v>
      </c>
      <c r="G25" s="19">
        <f>[43]실험기록부!$G$9</f>
        <v>3.3657599999999994</v>
      </c>
      <c r="H25" s="20">
        <f>[43]실험기록부!$H$9</f>
        <v>190000</v>
      </c>
      <c r="I25" s="27">
        <f>[44]커버3!$G$12</f>
        <v>520</v>
      </c>
      <c r="J25" s="96">
        <f>[43]일반사항!$D$26</f>
        <v>16.5</v>
      </c>
    </row>
    <row r="26" spans="1:10" ht="20.100000000000001" customHeight="1">
      <c r="A26" s="25">
        <f>[45]일반사항!$B$4</f>
        <v>44523</v>
      </c>
      <c r="B26" s="105">
        <f>[45]일반사항!$E$26</f>
        <v>7.2050000000000001</v>
      </c>
      <c r="C26" s="106">
        <f>[45]실험기록부!$C$9</f>
        <v>208.5</v>
      </c>
      <c r="D26" s="105">
        <f>[45]실험기록부!$D$9</f>
        <v>71.237247077456004</v>
      </c>
      <c r="E26" s="107">
        <f>[45]실험기록부!$E$9</f>
        <v>179.99999999999972</v>
      </c>
      <c r="F26" s="19">
        <f>[45]실험기록부!$F$9</f>
        <v>34.478400000000001</v>
      </c>
      <c r="G26" s="19">
        <f>[45]실험기록부!$G$9</f>
        <v>3.996</v>
      </c>
      <c r="H26" s="20">
        <f>[45]실험기록부!$H$9</f>
        <v>180000</v>
      </c>
      <c r="I26" s="27">
        <f>[46]커버3!$G$12</f>
        <v>530</v>
      </c>
      <c r="J26" s="96">
        <f>[45]일반사항!$D$26</f>
        <v>16.3</v>
      </c>
    </row>
    <row r="27" spans="1:10" ht="20.100000000000001" customHeight="1">
      <c r="A27" s="25">
        <f>[47]일반사항!$B$4</f>
        <v>44524</v>
      </c>
      <c r="B27" s="105">
        <f>[47]일반사항!$E$26</f>
        <v>7.4550000000000001</v>
      </c>
      <c r="C27" s="106">
        <f>[47]실험기록부!$C$9</f>
        <v>229.99999999999997</v>
      </c>
      <c r="D27" s="105">
        <f>[47]실험기록부!$D$9</f>
        <v>67.187256422567998</v>
      </c>
      <c r="E27" s="107">
        <f>[47]실험기록부!$E$9</f>
        <v>200</v>
      </c>
      <c r="F27" s="19">
        <f>[47]실험기록부!$F$9</f>
        <v>46.195200000000007</v>
      </c>
      <c r="G27" s="19">
        <f>[47]실험기록부!$G$9</f>
        <v>4.1870399999999997</v>
      </c>
      <c r="H27" s="20">
        <f>[47]실험기록부!$H$9</f>
        <v>200000</v>
      </c>
      <c r="I27" s="27">
        <f>[48]커버3!$G$12</f>
        <v>504</v>
      </c>
      <c r="J27" s="96">
        <f>[47]일반사항!$D$26</f>
        <v>15.1</v>
      </c>
    </row>
    <row r="28" spans="1:10" ht="20.100000000000001" customHeight="1">
      <c r="A28" s="25">
        <f>[49]일반사항!$B$4</f>
        <v>44525</v>
      </c>
      <c r="B28" s="105">
        <f>[49]일반사항!$E$26</f>
        <v>7.29</v>
      </c>
      <c r="C28" s="106">
        <f>[49]실험기록부!$C$9</f>
        <v>171.99999999999997</v>
      </c>
      <c r="D28" s="105">
        <f>[49]실험기록부!$D$9</f>
        <v>82.811221801076002</v>
      </c>
      <c r="E28" s="107">
        <f>[49]실험기록부!$E$9</f>
        <v>186.66666666666694</v>
      </c>
      <c r="F28" s="19">
        <f>[49]실험기록부!$F$9</f>
        <v>38.6616</v>
      </c>
      <c r="G28" s="19">
        <f>[49]실험기록부!$G$9</f>
        <v>3.6576</v>
      </c>
      <c r="H28" s="20">
        <f>[49]실험기록부!$H$9</f>
        <v>170000</v>
      </c>
      <c r="I28" s="27">
        <f>[50]커버3!$G$12</f>
        <v>541</v>
      </c>
      <c r="J28" s="96">
        <f>[49]일반사항!$D$26</f>
        <v>14.8</v>
      </c>
    </row>
    <row r="29" spans="1:10" ht="20.100000000000001" customHeight="1">
      <c r="A29" s="25">
        <f>[51]일반사항!$B$4</f>
        <v>44526</v>
      </c>
      <c r="B29" s="105">
        <f>[51]일반사항!$E$26</f>
        <v>7.23</v>
      </c>
      <c r="C29" s="106">
        <f>[51]실험기록부!$C$9</f>
        <v>215.49999999999997</v>
      </c>
      <c r="D29" s="105">
        <f>[51]실험기록부!$D$9</f>
        <v>93.536308125679994</v>
      </c>
      <c r="E29" s="107">
        <f>[51]실험기록부!$E$9</f>
        <v>203.3333333333336</v>
      </c>
      <c r="F29" s="19">
        <f>[51]실험기록부!$F$9</f>
        <v>35.344799999999999</v>
      </c>
      <c r="G29" s="19">
        <f>[51]실험기록부!$G$9</f>
        <v>4.4884800000000009</v>
      </c>
      <c r="H29" s="20">
        <f>[51]실험기록부!$H$9</f>
        <v>180000</v>
      </c>
      <c r="I29" s="27">
        <f>[52]커버3!$G$12</f>
        <v>511</v>
      </c>
      <c r="J29" s="96">
        <f>[51]일반사항!$D$26</f>
        <v>14.5</v>
      </c>
    </row>
    <row r="30" spans="1:10" ht="20.100000000000001" customHeight="1">
      <c r="A30" s="25">
        <f>[53]일반사항!$B$4</f>
        <v>44527</v>
      </c>
      <c r="B30" s="105">
        <f>[53]일반사항!$E$26</f>
        <v>7.4950000000000001</v>
      </c>
      <c r="C30" s="106">
        <f>[53]실험기록부!$C$9</f>
        <v>166.5</v>
      </c>
      <c r="D30" s="105">
        <f>[53]실험기록부!$D$9</f>
        <v>96.648104260403997</v>
      </c>
      <c r="E30" s="107">
        <f>[53]실험기록부!$E$9</f>
        <v>166.66666666666666</v>
      </c>
      <c r="F30" s="19">
        <f>[53]실험기록부!$F$9</f>
        <v>34.670399999999994</v>
      </c>
      <c r="G30" s="19">
        <f>[53]실험기록부!$G$9</f>
        <v>4.3987199999999991</v>
      </c>
      <c r="H30" s="20">
        <f>[53]실험기록부!$H$9</f>
        <v>160000</v>
      </c>
      <c r="I30" s="27">
        <f>[54]커버3!$G$12</f>
        <v>513</v>
      </c>
      <c r="J30" s="96">
        <f>[53]일반사항!$D$26</f>
        <v>14.1</v>
      </c>
    </row>
    <row r="31" spans="1:10" ht="20.100000000000001" customHeight="1">
      <c r="A31" s="25">
        <f>[55]일반사항!$B$4</f>
        <v>44528</v>
      </c>
      <c r="B31" s="105">
        <f>[55]일반사항!$E$26</f>
        <v>7.39</v>
      </c>
      <c r="C31" s="106">
        <f>[55]실험기록부!$C$9</f>
        <v>186.49999999999997</v>
      </c>
      <c r="D31" s="105">
        <f>[55]실험기록부!$D$9</f>
        <v>84.622966017148002</v>
      </c>
      <c r="E31" s="107">
        <f>[55]실험기록부!$E$9</f>
        <v>206.66666666666677</v>
      </c>
      <c r="F31" s="19">
        <f>[55]실험기록부!$F$9</f>
        <v>35.901600000000002</v>
      </c>
      <c r="G31" s="19">
        <f>[55]실험기록부!$G$9</f>
        <v>4.24512</v>
      </c>
      <c r="H31" s="20">
        <f>[55]실험기록부!$H$9</f>
        <v>190000</v>
      </c>
      <c r="I31" s="27">
        <f>[56]커버3!$G$12</f>
        <v>520</v>
      </c>
      <c r="J31" s="96">
        <f>[55]일반사항!$D$26</f>
        <v>14.05</v>
      </c>
    </row>
    <row r="32" spans="1:10" ht="20.100000000000001" customHeight="1">
      <c r="A32" s="25">
        <f>[57]일반사항!$B$4</f>
        <v>44529</v>
      </c>
      <c r="B32" s="105">
        <f>[57]일반사항!$E$26</f>
        <v>7.1050000000000004</v>
      </c>
      <c r="C32" s="106">
        <f>[57]실험기록부!$C$9</f>
        <v>206.99999999999997</v>
      </c>
      <c r="D32" s="105">
        <f>[57]실험기록부!$D$9</f>
        <v>104.97007342288001</v>
      </c>
      <c r="E32" s="107">
        <f>[57]실험기록부!$E$9</f>
        <v>223.33333333333343</v>
      </c>
      <c r="F32" s="19">
        <f>[57]실험기록부!$F$9</f>
        <v>35.448</v>
      </c>
      <c r="G32" s="19">
        <f>[57]실험기록부!$G$9</f>
        <v>4.5350399999999995</v>
      </c>
      <c r="H32" s="20">
        <f>[57]실험기록부!$H$9</f>
        <v>210000</v>
      </c>
      <c r="I32" s="27">
        <f>[58]커버3!$G$12</f>
        <v>489</v>
      </c>
      <c r="J32" s="96">
        <f>[57]일반사항!$D$26</f>
        <v>14</v>
      </c>
    </row>
    <row r="33" spans="1:10" ht="20.100000000000001" customHeight="1">
      <c r="A33" s="25">
        <f>[59]일반사항!$B$4</f>
        <v>44530</v>
      </c>
      <c r="B33" s="105">
        <f>[59]일반사항!$E$26</f>
        <v>7.43</v>
      </c>
      <c r="C33" s="106">
        <f>[59]실험기록부!$C$9</f>
        <v>171.99999999999997</v>
      </c>
      <c r="D33" s="105">
        <f>[59]실험기록부!$D$9</f>
        <v>71.283270809903996</v>
      </c>
      <c r="E33" s="107">
        <f>[59]실험기록부!$E$9</f>
        <v>179.99999999999972</v>
      </c>
      <c r="F33" s="19">
        <f>[59]실험기록부!$F$9</f>
        <v>35.827200000000005</v>
      </c>
      <c r="G33" s="19">
        <f>[59]실험기록부!$G$9</f>
        <v>4.5211199999999998</v>
      </c>
      <c r="H33" s="20">
        <f>[59]실험기록부!$H$9</f>
        <v>130000</v>
      </c>
      <c r="I33" s="27">
        <f>[60]커버3!$G$12</f>
        <v>444</v>
      </c>
      <c r="J33" s="96">
        <f>[59]일반사항!$D$26</f>
        <v>16</v>
      </c>
    </row>
    <row r="34" spans="1:10" ht="20.100000000000001" customHeight="1" thickBot="1">
      <c r="A34" s="28"/>
      <c r="B34" s="108"/>
      <c r="C34" s="109"/>
      <c r="D34" s="108"/>
      <c r="E34" s="110"/>
      <c r="F34" s="32"/>
      <c r="G34" s="32"/>
      <c r="H34" s="33"/>
      <c r="I34" s="34"/>
      <c r="J34" s="96"/>
    </row>
    <row r="35" spans="1:10" ht="20.100000000000001" customHeight="1" thickTop="1">
      <c r="A35" s="15" t="s">
        <v>0</v>
      </c>
      <c r="B35" s="111">
        <f t="shared" ref="B35:H35" si="0">MAX(B4:B34)</f>
        <v>7.5449999999999999</v>
      </c>
      <c r="C35" s="111">
        <f t="shared" si="0"/>
        <v>238.99999999999997</v>
      </c>
      <c r="D35" s="111">
        <f t="shared" si="0"/>
        <v>109.65045009016001</v>
      </c>
      <c r="E35" s="111">
        <f t="shared" si="0"/>
        <v>226.66666666666703</v>
      </c>
      <c r="F35" s="40">
        <f t="shared" si="0"/>
        <v>55.2072</v>
      </c>
      <c r="G35" s="40">
        <f t="shared" si="0"/>
        <v>5.9625600000000007</v>
      </c>
      <c r="H35" s="97">
        <f t="shared" si="0"/>
        <v>220000</v>
      </c>
      <c r="I35" s="35">
        <f>MAX(I4:I34)</f>
        <v>552</v>
      </c>
    </row>
    <row r="36" spans="1:10" ht="20.100000000000001" customHeight="1">
      <c r="A36" s="1" t="s">
        <v>1</v>
      </c>
      <c r="B36" s="112">
        <f t="shared" ref="B36:H36" si="1">MIN(B5:B33)</f>
        <v>7.1050000000000004</v>
      </c>
      <c r="C36" s="112">
        <f t="shared" si="1"/>
        <v>155.00000000000003</v>
      </c>
      <c r="D36" s="112">
        <f t="shared" si="1"/>
        <v>63.02081646976</v>
      </c>
      <c r="E36" s="112">
        <f t="shared" si="1"/>
        <v>139.99999999999963</v>
      </c>
      <c r="F36" s="41">
        <f t="shared" si="1"/>
        <v>31.691999999999997</v>
      </c>
      <c r="G36" s="41">
        <f t="shared" si="1"/>
        <v>3.3657599999999994</v>
      </c>
      <c r="H36" s="98">
        <f t="shared" si="1"/>
        <v>130000</v>
      </c>
      <c r="I36" s="85">
        <f>MIN(I5:I33)</f>
        <v>444</v>
      </c>
    </row>
    <row r="37" spans="1:10" ht="20.100000000000001" customHeight="1" thickBot="1">
      <c r="A37" s="2" t="s">
        <v>2</v>
      </c>
      <c r="B37" s="113">
        <f t="shared" ref="B37:H37" si="2">AVERAGE(B4:B33)</f>
        <v>7.3706666666666676</v>
      </c>
      <c r="C37" s="113">
        <f t="shared" si="2"/>
        <v>193.88333333333333</v>
      </c>
      <c r="D37" s="113">
        <f t="shared" si="2"/>
        <v>89.558671466518007</v>
      </c>
      <c r="E37" s="113">
        <f t="shared" si="2"/>
        <v>190.22222222222226</v>
      </c>
      <c r="F37" s="42">
        <f t="shared" si="2"/>
        <v>38.990959999999994</v>
      </c>
      <c r="G37" s="42">
        <f t="shared" si="2"/>
        <v>4.4815999999999994</v>
      </c>
      <c r="H37" s="99">
        <f t="shared" si="2"/>
        <v>177000</v>
      </c>
      <c r="I37" s="86">
        <f>AVERAGE(I4:I33)</f>
        <v>521.83333333333337</v>
      </c>
      <c r="J37" s="61">
        <f>I37*30</f>
        <v>15655.000000000002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tabSelected="1" view="pageBreakPreview" zoomScaleSheetLayoutView="100" workbookViewId="0">
      <pane xSplit="1" ySplit="3" topLeftCell="B4" activePane="bottomRight" state="frozen"/>
      <selection activeCell="L11" sqref="L11"/>
      <selection pane="topRight" activeCell="L11" sqref="L11"/>
      <selection pane="bottomLeft" activeCell="L11" sqref="L11"/>
      <selection pane="bottomRight" activeCell="L11" sqref="L11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2" t="s">
        <v>25</v>
      </c>
      <c r="B1" s="122"/>
      <c r="C1" s="122"/>
      <c r="D1" s="122"/>
      <c r="E1" s="122"/>
      <c r="F1" s="122"/>
      <c r="G1" s="122"/>
      <c r="H1" s="122"/>
      <c r="I1" s="122"/>
    </row>
    <row r="2" spans="1:18" ht="20.100000000000001" customHeight="1">
      <c r="A2" s="117" t="s">
        <v>14</v>
      </c>
      <c r="B2" s="119" t="s">
        <v>13</v>
      </c>
      <c r="C2" s="120"/>
      <c r="D2" s="120"/>
      <c r="E2" s="120"/>
      <c r="F2" s="120"/>
      <c r="G2" s="120"/>
      <c r="H2" s="120"/>
      <c r="I2" s="121"/>
    </row>
    <row r="3" spans="1:18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44501</v>
      </c>
      <c r="B4" s="57">
        <f>[1]일반사항!$E$27</f>
        <v>6.98</v>
      </c>
      <c r="C4" s="91">
        <f>[1]실험기록부!$C$10</f>
        <v>16.8</v>
      </c>
      <c r="D4" s="92">
        <f>[1]실험기록부!$D$10</f>
        <v>6.8599684244799999</v>
      </c>
      <c r="E4" s="93">
        <f>[1]실험기록부!$E$10</f>
        <v>14.400000000000034</v>
      </c>
      <c r="F4" s="94">
        <f>[1]실험기록부!$F$10</f>
        <v>7.0084800000000005</v>
      </c>
      <c r="G4" s="94">
        <f>[1]실험기록부!$G$10</f>
        <v>0.50294400000000006</v>
      </c>
      <c r="H4" s="95">
        <f>[1]실험기록부!$H$10</f>
        <v>420</v>
      </c>
      <c r="I4" s="26"/>
      <c r="K4" s="62">
        <f>IF(B4&gt;0,B4,"")</f>
        <v>6.98</v>
      </c>
      <c r="L4" s="63">
        <f t="shared" ref="L4:P4" si="0">IF(C4&gt;0,C4,"")</f>
        <v>16.8</v>
      </c>
      <c r="M4" s="63">
        <f t="shared" si="0"/>
        <v>6.8599684244799999</v>
      </c>
      <c r="N4" s="63">
        <f t="shared" si="0"/>
        <v>14.400000000000034</v>
      </c>
      <c r="O4" s="63">
        <f t="shared" si="0"/>
        <v>7.0084800000000005</v>
      </c>
      <c r="P4" s="63">
        <f t="shared" si="0"/>
        <v>0.50294400000000006</v>
      </c>
      <c r="Q4" s="64">
        <f>IF(H4&gt;0,H4,"")</f>
        <v>420</v>
      </c>
      <c r="R4" s="65" t="str">
        <f>IF(I4&gt;0,I4,"")</f>
        <v/>
      </c>
    </row>
    <row r="5" spans="1:18" ht="20.100000000000001" customHeight="1">
      <c r="A5" s="25">
        <f>[3]일반사항!$B$4</f>
        <v>44502</v>
      </c>
      <c r="B5" s="58">
        <f>[3]일반사항!$E$27</f>
        <v>6.95</v>
      </c>
      <c r="C5" s="51">
        <f>[3]실험기록부!$C$10</f>
        <v>18.562499999999996</v>
      </c>
      <c r="D5" s="52">
        <f>[3]실험기록부!$D$10</f>
        <v>10.512447660182</v>
      </c>
      <c r="E5" s="53">
        <f>[3]실험기록부!$E$10</f>
        <v>18.400000000000034</v>
      </c>
      <c r="F5" s="48">
        <f>[3]실험기록부!$F$10</f>
        <v>8.4955199999999991</v>
      </c>
      <c r="G5" s="48">
        <f>[3]실험기록부!$G$10</f>
        <v>0.54321600000000003</v>
      </c>
      <c r="H5" s="47">
        <f>[3]실험기록부!$H$10</f>
        <v>800</v>
      </c>
      <c r="I5" s="27"/>
      <c r="K5" s="65">
        <f t="shared" ref="K5:K33" si="1">IF(B5&gt;0,B5,"")</f>
        <v>6.95</v>
      </c>
      <c r="L5" s="66">
        <f t="shared" ref="L5:L33" si="2">IF(C5&gt;0,C5,"")</f>
        <v>18.562499999999996</v>
      </c>
      <c r="M5" s="66">
        <f t="shared" ref="M5:M33" si="3">IF(D5&gt;0,D5,"")</f>
        <v>10.512447660182</v>
      </c>
      <c r="N5" s="66">
        <f t="shared" ref="N5:N33" si="4">IF(E5&gt;0,E5,"")</f>
        <v>18.400000000000034</v>
      </c>
      <c r="O5" s="66">
        <f t="shared" ref="O5:O33" si="5">IF(F5&gt;0,F5,"")</f>
        <v>8.4955199999999991</v>
      </c>
      <c r="P5" s="66">
        <f t="shared" ref="P5:P33" si="6">IF(G5&gt;0,G5,"")</f>
        <v>0.54321600000000003</v>
      </c>
      <c r="Q5" s="67">
        <f t="shared" ref="Q5:Q33" si="7">IF(H5&gt;0,H5,"")</f>
        <v>800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44503</v>
      </c>
      <c r="B6" s="58">
        <f>[5]일반사항!$E$27</f>
        <v>6.92</v>
      </c>
      <c r="C6" s="51">
        <f>[5]실험기록부!$C$10</f>
        <v>18.637499999999996</v>
      </c>
      <c r="D6" s="52">
        <f>[5]실험기록부!$D$10</f>
        <v>6.3497769346680002</v>
      </c>
      <c r="E6" s="53">
        <f>[5]실험기록부!$E$10</f>
        <v>17.199999999999989</v>
      </c>
      <c r="F6" s="48">
        <f>[5]실험기록부!$F$10</f>
        <v>10.484640000000001</v>
      </c>
      <c r="G6" s="48">
        <f>[5]실험기록부!$G$10</f>
        <v>0.56059200000000009</v>
      </c>
      <c r="H6" s="47">
        <f>[5]실험기록부!$H$10</f>
        <v>710</v>
      </c>
      <c r="I6" s="27"/>
      <c r="K6" s="65">
        <f t="shared" si="1"/>
        <v>6.92</v>
      </c>
      <c r="L6" s="66">
        <f t="shared" si="2"/>
        <v>18.637499999999996</v>
      </c>
      <c r="M6" s="66">
        <f t="shared" si="3"/>
        <v>6.3497769346680002</v>
      </c>
      <c r="N6" s="66">
        <f t="shared" si="4"/>
        <v>17.199999999999989</v>
      </c>
      <c r="O6" s="66">
        <f t="shared" si="5"/>
        <v>10.484640000000001</v>
      </c>
      <c r="P6" s="66">
        <f t="shared" si="6"/>
        <v>0.56059200000000009</v>
      </c>
      <c r="Q6" s="67">
        <f t="shared" si="7"/>
        <v>710</v>
      </c>
      <c r="R6" s="65" t="str">
        <f t="shared" si="8"/>
        <v/>
      </c>
    </row>
    <row r="7" spans="1:18" ht="20.100000000000001" customHeight="1">
      <c r="A7" s="25">
        <f>[7]일반사항!$B$4</f>
        <v>44504</v>
      </c>
      <c r="B7" s="58">
        <f>[7]일반사항!$E$27</f>
        <v>6.96</v>
      </c>
      <c r="C7" s="51">
        <f>[7]실험기록부!$C$10</f>
        <v>18.45</v>
      </c>
      <c r="D7" s="52">
        <f>[7]실험기록부!$D$10</f>
        <v>6.9355600589339996</v>
      </c>
      <c r="E7" s="53">
        <f>[7]실험기록부!$E$10</f>
        <v>18.800000000000011</v>
      </c>
      <c r="F7" s="48">
        <f>[7]실험기록부!$F$10</f>
        <v>8.6256000000000004</v>
      </c>
      <c r="G7" s="48">
        <f>[7]실험기록부!$G$10</f>
        <v>0.54038400000000009</v>
      </c>
      <c r="H7" s="47">
        <f>[7]실험기록부!$H$10</f>
        <v>750</v>
      </c>
      <c r="I7" s="27"/>
      <c r="K7" s="65">
        <f t="shared" si="1"/>
        <v>6.96</v>
      </c>
      <c r="L7" s="66">
        <f t="shared" si="2"/>
        <v>18.45</v>
      </c>
      <c r="M7" s="66">
        <f t="shared" si="3"/>
        <v>6.9355600589339996</v>
      </c>
      <c r="N7" s="66">
        <f t="shared" si="4"/>
        <v>18.800000000000011</v>
      </c>
      <c r="O7" s="66">
        <f t="shared" si="5"/>
        <v>8.6256000000000004</v>
      </c>
      <c r="P7" s="66">
        <f t="shared" si="6"/>
        <v>0.54038400000000009</v>
      </c>
      <c r="Q7" s="67">
        <f t="shared" si="7"/>
        <v>750</v>
      </c>
      <c r="R7" s="65" t="str">
        <f t="shared" si="8"/>
        <v/>
      </c>
    </row>
    <row r="8" spans="1:18" ht="20.100000000000001" customHeight="1">
      <c r="A8" s="25">
        <f>[9]일반사항!$B$4</f>
        <v>44505</v>
      </c>
      <c r="B8" s="58">
        <f>[9]일반사항!$E$27</f>
        <v>6.97</v>
      </c>
      <c r="C8" s="51">
        <f>[9]실험기록부!$C$10</f>
        <v>16.125000000000004</v>
      </c>
      <c r="D8" s="52">
        <f>[9]실험기록부!$D$10</f>
        <v>7.2800967630900004</v>
      </c>
      <c r="E8" s="53">
        <f>[9]실험기록부!$E$10</f>
        <v>18</v>
      </c>
      <c r="F8" s="48">
        <f>[9]실험기록부!$F$10</f>
        <v>5.3995199999999999</v>
      </c>
      <c r="G8" s="48">
        <f>[9]실험기록부!$G$10</f>
        <v>0.6297600000000001</v>
      </c>
      <c r="H8" s="47">
        <f>[9]실험기록부!$H$10</f>
        <v>910</v>
      </c>
      <c r="I8" s="27"/>
      <c r="K8" s="65">
        <f t="shared" si="1"/>
        <v>6.97</v>
      </c>
      <c r="L8" s="66">
        <f t="shared" si="2"/>
        <v>16.125000000000004</v>
      </c>
      <c r="M8" s="66">
        <f t="shared" si="3"/>
        <v>7.2800967630900004</v>
      </c>
      <c r="N8" s="66">
        <f t="shared" si="4"/>
        <v>18</v>
      </c>
      <c r="O8" s="66">
        <f t="shared" si="5"/>
        <v>5.3995199999999999</v>
      </c>
      <c r="P8" s="66">
        <f t="shared" si="6"/>
        <v>0.6297600000000001</v>
      </c>
      <c r="Q8" s="67">
        <f t="shared" si="7"/>
        <v>910</v>
      </c>
      <c r="R8" s="65" t="str">
        <f t="shared" si="8"/>
        <v/>
      </c>
    </row>
    <row r="9" spans="1:18" ht="20.100000000000001" customHeight="1">
      <c r="A9" s="25">
        <f>[11]일반사항!$B$4</f>
        <v>44506</v>
      </c>
      <c r="B9" s="58">
        <f>[11]일반사항!$E$27</f>
        <v>0</v>
      </c>
      <c r="C9" s="51">
        <f>[11]실험기록부!$C$10</f>
        <v>0</v>
      </c>
      <c r="D9" s="52">
        <f>[11]실험기록부!$D$10</f>
        <v>0</v>
      </c>
      <c r="E9" s="53">
        <f>[11]실험기록부!$E$10</f>
        <v>0</v>
      </c>
      <c r="F9" s="48">
        <f>[11]실험기록부!$F$10</f>
        <v>0</v>
      </c>
      <c r="G9" s="48">
        <f>[11]실험기록부!$G$10</f>
        <v>0</v>
      </c>
      <c r="H9" s="47">
        <f>[11]실험기록부!$H$10</f>
        <v>0</v>
      </c>
      <c r="I9" s="27"/>
      <c r="K9" s="65" t="str">
        <f t="shared" si="1"/>
        <v/>
      </c>
      <c r="L9" s="66" t="str">
        <f t="shared" si="2"/>
        <v/>
      </c>
      <c r="M9" s="66" t="str">
        <f t="shared" si="3"/>
        <v/>
      </c>
      <c r="N9" s="66" t="str">
        <f t="shared" si="4"/>
        <v/>
      </c>
      <c r="O9" s="66" t="str">
        <f t="shared" si="5"/>
        <v/>
      </c>
      <c r="P9" s="66" t="str">
        <f t="shared" si="6"/>
        <v/>
      </c>
      <c r="Q9" s="67" t="str">
        <f t="shared" si="7"/>
        <v/>
      </c>
      <c r="R9" s="65" t="str">
        <f t="shared" si="8"/>
        <v/>
      </c>
    </row>
    <row r="10" spans="1:18" ht="20.100000000000001" customHeight="1">
      <c r="A10" s="25">
        <f>[13]일반사항!$B$4</f>
        <v>44507</v>
      </c>
      <c r="B10" s="58">
        <f>[13]일반사항!$E$27</f>
        <v>0</v>
      </c>
      <c r="C10" s="51">
        <f>[13]실험기록부!$C$10</f>
        <v>0</v>
      </c>
      <c r="D10" s="52">
        <f>[13]실험기록부!$D$10</f>
        <v>0</v>
      </c>
      <c r="E10" s="53">
        <f>[13]실험기록부!$E$10</f>
        <v>0</v>
      </c>
      <c r="F10" s="48">
        <f>[13]실험기록부!$F$10</f>
        <v>0</v>
      </c>
      <c r="G10" s="48">
        <f>[13]실험기록부!$G$10</f>
        <v>0</v>
      </c>
      <c r="H10" s="47">
        <f>[13]실험기록부!$H$10</f>
        <v>0</v>
      </c>
      <c r="I10" s="27"/>
      <c r="K10" s="65" t="str">
        <f t="shared" si="1"/>
        <v/>
      </c>
      <c r="L10" s="66" t="str">
        <f t="shared" si="2"/>
        <v/>
      </c>
      <c r="M10" s="66" t="str">
        <f t="shared" si="3"/>
        <v/>
      </c>
      <c r="N10" s="66" t="str">
        <f t="shared" si="4"/>
        <v/>
      </c>
      <c r="O10" s="66" t="str">
        <f t="shared" si="5"/>
        <v/>
      </c>
      <c r="P10" s="66" t="str">
        <f t="shared" si="6"/>
        <v/>
      </c>
      <c r="Q10" s="67" t="str">
        <f t="shared" si="7"/>
        <v/>
      </c>
      <c r="R10" s="65" t="str">
        <f t="shared" si="8"/>
        <v/>
      </c>
    </row>
    <row r="11" spans="1:18" ht="20.100000000000001" customHeight="1">
      <c r="A11" s="25">
        <f>[15]일반사항!$B$4</f>
        <v>44508</v>
      </c>
      <c r="B11" s="58">
        <f>[15]일반사항!$E$27</f>
        <v>6.98</v>
      </c>
      <c r="C11" s="51">
        <f>[15]실험기록부!$C$10</f>
        <v>16.462500000000002</v>
      </c>
      <c r="D11" s="52">
        <f>[15]실험기록부!$D$10</f>
        <v>6.4262093978239996</v>
      </c>
      <c r="E11" s="53">
        <f>[15]실험기록부!$E$10</f>
        <v>18.399999999999977</v>
      </c>
      <c r="F11" s="48">
        <f>[15]실험기록부!$F$10</f>
        <v>6.8759999999999994</v>
      </c>
      <c r="G11" s="48">
        <f>[15]실험기록부!$G$10</f>
        <v>0.47318400000000005</v>
      </c>
      <c r="H11" s="47">
        <f>[15]실험기록부!$H$10</f>
        <v>590</v>
      </c>
      <c r="I11" s="27"/>
      <c r="K11" s="65">
        <f t="shared" si="1"/>
        <v>6.98</v>
      </c>
      <c r="L11" s="66">
        <f t="shared" si="2"/>
        <v>16.462500000000002</v>
      </c>
      <c r="M11" s="66">
        <f t="shared" si="3"/>
        <v>6.4262093978239996</v>
      </c>
      <c r="N11" s="66">
        <f t="shared" si="4"/>
        <v>18.399999999999977</v>
      </c>
      <c r="O11" s="66">
        <f t="shared" si="5"/>
        <v>6.8759999999999994</v>
      </c>
      <c r="P11" s="66">
        <f t="shared" si="6"/>
        <v>0.47318400000000005</v>
      </c>
      <c r="Q11" s="67">
        <f t="shared" si="7"/>
        <v>590</v>
      </c>
      <c r="R11" s="65" t="str">
        <f t="shared" si="8"/>
        <v/>
      </c>
    </row>
    <row r="12" spans="1:18" ht="20.100000000000001" customHeight="1">
      <c r="A12" s="25">
        <f>[17]일반사항!$B$4</f>
        <v>44509</v>
      </c>
      <c r="B12" s="58">
        <f>[17]일반사항!$E$27</f>
        <v>6.9850000000000003</v>
      </c>
      <c r="C12" s="51">
        <f>[17]실험기록부!$C$10</f>
        <v>15.674999999999999</v>
      </c>
      <c r="D12" s="52">
        <f>[17]실험기록부!$D$10</f>
        <v>6.0436054262300001</v>
      </c>
      <c r="E12" s="53">
        <f>[17]실험기록부!$E$10</f>
        <v>18</v>
      </c>
      <c r="F12" s="48">
        <f>[17]실험기록부!$F$10</f>
        <v>6.7680000000000007</v>
      </c>
      <c r="G12" s="48">
        <f>[17]실험기록부!$G$10</f>
        <v>0.42811199999999994</v>
      </c>
      <c r="H12" s="47">
        <f>[17]실험기록부!$H$10</f>
        <v>710</v>
      </c>
      <c r="I12" s="27"/>
      <c r="K12" s="65">
        <f t="shared" si="1"/>
        <v>6.9850000000000003</v>
      </c>
      <c r="L12" s="66">
        <f t="shared" si="2"/>
        <v>15.674999999999999</v>
      </c>
      <c r="M12" s="66">
        <f t="shared" si="3"/>
        <v>6.0436054262300001</v>
      </c>
      <c r="N12" s="66">
        <f t="shared" si="4"/>
        <v>18</v>
      </c>
      <c r="O12" s="66">
        <f t="shared" si="5"/>
        <v>6.7680000000000007</v>
      </c>
      <c r="P12" s="66">
        <f t="shared" si="6"/>
        <v>0.42811199999999994</v>
      </c>
      <c r="Q12" s="67">
        <f t="shared" si="7"/>
        <v>710</v>
      </c>
      <c r="R12" s="65" t="str">
        <f t="shared" si="8"/>
        <v/>
      </c>
    </row>
    <row r="13" spans="1:18" ht="20.100000000000001" customHeight="1">
      <c r="A13" s="25">
        <f>[19]일반사항!$B$4</f>
        <v>44510</v>
      </c>
      <c r="B13" s="58">
        <f>[19]일반사항!$E$27</f>
        <v>6.97</v>
      </c>
      <c r="C13" s="51">
        <f>[19]실험기록부!$C$10</f>
        <v>14.249999999999996</v>
      </c>
      <c r="D13" s="52">
        <f>[19]실험기록부!$D$10</f>
        <v>6.1740468451200003</v>
      </c>
      <c r="E13" s="53">
        <f>[19]실험기록부!$E$10</f>
        <v>18.399999999999977</v>
      </c>
      <c r="F13" s="48">
        <f>[19]실험기록부!$F$10</f>
        <v>6.4579199999999997</v>
      </c>
      <c r="G13" s="48">
        <f>[19]실험기록부!$G$10</f>
        <v>0.54268799999999995</v>
      </c>
      <c r="H13" s="47">
        <f>[19]실험기록부!$H$10</f>
        <v>690</v>
      </c>
      <c r="I13" s="27"/>
      <c r="K13" s="65">
        <f t="shared" si="1"/>
        <v>6.97</v>
      </c>
      <c r="L13" s="66">
        <f t="shared" si="2"/>
        <v>14.249999999999996</v>
      </c>
      <c r="M13" s="66">
        <f t="shared" si="3"/>
        <v>6.1740468451200003</v>
      </c>
      <c r="N13" s="66">
        <f t="shared" si="4"/>
        <v>18.399999999999977</v>
      </c>
      <c r="O13" s="66">
        <f t="shared" si="5"/>
        <v>6.4579199999999997</v>
      </c>
      <c r="P13" s="66">
        <f t="shared" si="6"/>
        <v>0.54268799999999995</v>
      </c>
      <c r="Q13" s="67">
        <f t="shared" si="7"/>
        <v>690</v>
      </c>
      <c r="R13" s="65" t="str">
        <f t="shared" si="8"/>
        <v/>
      </c>
    </row>
    <row r="14" spans="1:18" ht="20.100000000000001" customHeight="1">
      <c r="A14" s="25">
        <f>[21]일반사항!$B$4</f>
        <v>44511</v>
      </c>
      <c r="B14" s="58">
        <f>[21]일반사항!$E$27</f>
        <v>6.96</v>
      </c>
      <c r="C14" s="51">
        <f>[21]실험기록부!$C$10</f>
        <v>13.012499999999999</v>
      </c>
      <c r="D14" s="52">
        <f>[21]실험기록부!$D$10</f>
        <v>3.9875951968379999</v>
      </c>
      <c r="E14" s="53">
        <f>[21]실험기록부!$E$10</f>
        <v>16.399999999999977</v>
      </c>
      <c r="F14" s="48">
        <f>[21]실험기록부!$F$10</f>
        <v>6.1876800000000003</v>
      </c>
      <c r="G14" s="48">
        <f>[21]실험기록부!$G$10</f>
        <v>0.60753599999999996</v>
      </c>
      <c r="H14" s="47">
        <f>[21]실험기록부!$H$10</f>
        <v>880</v>
      </c>
      <c r="I14" s="27"/>
      <c r="K14" s="65">
        <f t="shared" si="1"/>
        <v>6.96</v>
      </c>
      <c r="L14" s="66">
        <f t="shared" si="2"/>
        <v>13.012499999999999</v>
      </c>
      <c r="M14" s="66">
        <f t="shared" si="3"/>
        <v>3.9875951968379999</v>
      </c>
      <c r="N14" s="66">
        <f t="shared" si="4"/>
        <v>16.399999999999977</v>
      </c>
      <c r="O14" s="66">
        <f t="shared" si="5"/>
        <v>6.1876800000000003</v>
      </c>
      <c r="P14" s="66">
        <f t="shared" si="6"/>
        <v>0.60753599999999996</v>
      </c>
      <c r="Q14" s="67">
        <f t="shared" si="7"/>
        <v>880</v>
      </c>
      <c r="R14" s="65" t="str">
        <f t="shared" si="8"/>
        <v/>
      </c>
    </row>
    <row r="15" spans="1:18" ht="20.100000000000001" customHeight="1">
      <c r="A15" s="25">
        <f>[23]일반사항!$B$4</f>
        <v>44512</v>
      </c>
      <c r="B15" s="58">
        <f>[23]일반사항!$E$27</f>
        <v>6.95</v>
      </c>
      <c r="C15" s="51">
        <f>[23]실험기록부!$C$10</f>
        <v>14.474999999999998</v>
      </c>
      <c r="D15" s="52">
        <f>[23]실험기록부!$D$10</f>
        <v>7.3153497690140004</v>
      </c>
      <c r="E15" s="53">
        <f>[23]실험기록부!$E$10</f>
        <v>17.600000000000023</v>
      </c>
      <c r="F15" s="48">
        <f>[23]실험기록부!$F$10</f>
        <v>6.7934400000000013</v>
      </c>
      <c r="G15" s="48">
        <f>[23]실험기록부!$G$10</f>
        <v>0.39830400000000005</v>
      </c>
      <c r="H15" s="47">
        <f>[23]실험기록부!$H$10</f>
        <v>780</v>
      </c>
      <c r="I15" s="27"/>
      <c r="K15" s="65">
        <f t="shared" si="1"/>
        <v>6.95</v>
      </c>
      <c r="L15" s="66">
        <f t="shared" si="2"/>
        <v>14.474999999999998</v>
      </c>
      <c r="M15" s="66">
        <f t="shared" si="3"/>
        <v>7.3153497690140004</v>
      </c>
      <c r="N15" s="66">
        <f t="shared" si="4"/>
        <v>17.600000000000023</v>
      </c>
      <c r="O15" s="66">
        <f t="shared" si="5"/>
        <v>6.7934400000000013</v>
      </c>
      <c r="P15" s="66">
        <f t="shared" si="6"/>
        <v>0.39830400000000005</v>
      </c>
      <c r="Q15" s="67">
        <f t="shared" si="7"/>
        <v>780</v>
      </c>
      <c r="R15" s="65" t="str">
        <f t="shared" si="8"/>
        <v/>
      </c>
    </row>
    <row r="16" spans="1:18" ht="20.100000000000001" customHeight="1">
      <c r="A16" s="25">
        <f>[25]일반사항!$B$4</f>
        <v>44513</v>
      </c>
      <c r="B16" s="58">
        <f>[25]일반사항!$E$27</f>
        <v>0</v>
      </c>
      <c r="C16" s="51">
        <f>[25]실험기록부!$C$10</f>
        <v>0</v>
      </c>
      <c r="D16" s="52">
        <f>[25]실험기록부!$D$10</f>
        <v>0</v>
      </c>
      <c r="E16" s="53">
        <f>[25]실험기록부!$E$10</f>
        <v>0</v>
      </c>
      <c r="F16" s="48">
        <f>[25]실험기록부!$F$10</f>
        <v>0</v>
      </c>
      <c r="G16" s="48">
        <f>[25]실험기록부!$G$10</f>
        <v>0</v>
      </c>
      <c r="H16" s="47">
        <f>[25]실험기록부!$H$10</f>
        <v>0</v>
      </c>
      <c r="I16" s="27"/>
      <c r="K16" s="65" t="str">
        <f t="shared" si="1"/>
        <v/>
      </c>
      <c r="L16" s="66" t="str">
        <f t="shared" si="2"/>
        <v/>
      </c>
      <c r="M16" s="66" t="str">
        <f t="shared" si="3"/>
        <v/>
      </c>
      <c r="N16" s="66" t="str">
        <f t="shared" si="4"/>
        <v/>
      </c>
      <c r="O16" s="66" t="str">
        <f t="shared" si="5"/>
        <v/>
      </c>
      <c r="P16" s="66" t="str">
        <f t="shared" si="6"/>
        <v/>
      </c>
      <c r="Q16" s="67" t="str">
        <f t="shared" si="7"/>
        <v/>
      </c>
      <c r="R16" s="65" t="str">
        <f t="shared" si="8"/>
        <v/>
      </c>
    </row>
    <row r="17" spans="1:18" ht="20.100000000000001" customHeight="1">
      <c r="A17" s="25">
        <f>[27]일반사항!$B$4</f>
        <v>44514</v>
      </c>
      <c r="B17" s="58">
        <f>[27]일반사항!$E$27</f>
        <v>0</v>
      </c>
      <c r="C17" s="51">
        <f>[27]실험기록부!$C$10</f>
        <v>0</v>
      </c>
      <c r="D17" s="52">
        <f>[27]실험기록부!$D$10</f>
        <v>0</v>
      </c>
      <c r="E17" s="53">
        <f>[27]실험기록부!$E$10</f>
        <v>0</v>
      </c>
      <c r="F17" s="48">
        <f>[27]실험기록부!$F$10</f>
        <v>0</v>
      </c>
      <c r="G17" s="48">
        <f>[27]실험기록부!$G$10</f>
        <v>0</v>
      </c>
      <c r="H17" s="47">
        <f>[27]실험기록부!$H$10</f>
        <v>0</v>
      </c>
      <c r="I17" s="27"/>
      <c r="K17" s="65" t="str">
        <f t="shared" si="1"/>
        <v/>
      </c>
      <c r="L17" s="66" t="str">
        <f t="shared" si="2"/>
        <v/>
      </c>
      <c r="M17" s="66" t="str">
        <f t="shared" si="3"/>
        <v/>
      </c>
      <c r="N17" s="66" t="str">
        <f t="shared" si="4"/>
        <v/>
      </c>
      <c r="O17" s="66" t="str">
        <f t="shared" si="5"/>
        <v/>
      </c>
      <c r="P17" s="66" t="str">
        <f t="shared" si="6"/>
        <v/>
      </c>
      <c r="Q17" s="67" t="str">
        <f t="shared" si="7"/>
        <v/>
      </c>
      <c r="R17" s="65" t="str">
        <f t="shared" si="8"/>
        <v/>
      </c>
    </row>
    <row r="18" spans="1:18" ht="20.100000000000001" customHeight="1">
      <c r="A18" s="25">
        <f>[29]일반사항!$B$4</f>
        <v>44515</v>
      </c>
      <c r="B18" s="58">
        <f>[29]일반사항!$E$27</f>
        <v>6.98</v>
      </c>
      <c r="C18" s="51">
        <f>[29]실험기록부!$C$10</f>
        <v>15.525000000000002</v>
      </c>
      <c r="D18" s="52">
        <f>[29]실험기록부!$D$10</f>
        <v>6.8525968776640003</v>
      </c>
      <c r="E18" s="53">
        <f>[29]실험기록부!$E$10</f>
        <v>18.800000000000011</v>
      </c>
      <c r="F18" s="48">
        <f>[29]실험기록부!$F$10</f>
        <v>5.91744</v>
      </c>
      <c r="G18" s="48">
        <f>[29]실험기록부!$G$10</f>
        <v>0.47323199999999993</v>
      </c>
      <c r="H18" s="47">
        <f>[29]실험기록부!$H$10</f>
        <v>920</v>
      </c>
      <c r="I18" s="27"/>
      <c r="K18" s="65">
        <f t="shared" si="1"/>
        <v>6.98</v>
      </c>
      <c r="L18" s="66">
        <f t="shared" si="2"/>
        <v>15.525000000000002</v>
      </c>
      <c r="M18" s="66">
        <f t="shared" si="3"/>
        <v>6.8525968776640003</v>
      </c>
      <c r="N18" s="66">
        <f t="shared" si="4"/>
        <v>18.800000000000011</v>
      </c>
      <c r="O18" s="66">
        <f t="shared" si="5"/>
        <v>5.91744</v>
      </c>
      <c r="P18" s="66">
        <f t="shared" si="6"/>
        <v>0.47323199999999993</v>
      </c>
      <c r="Q18" s="67">
        <f t="shared" si="7"/>
        <v>920</v>
      </c>
      <c r="R18" s="65" t="str">
        <f t="shared" si="8"/>
        <v/>
      </c>
    </row>
    <row r="19" spans="1:18" ht="20.100000000000001" customHeight="1">
      <c r="A19" s="25">
        <f>[31]일반사항!$B$4</f>
        <v>44516</v>
      </c>
      <c r="B19" s="58">
        <f>[31]일반사항!$E$27</f>
        <v>6.95</v>
      </c>
      <c r="C19" s="51">
        <f>[31]실험기록부!$C$10</f>
        <v>15.374999999999998</v>
      </c>
      <c r="D19" s="52">
        <f>[31]실험기록부!$D$10</f>
        <v>6.1275501024140002</v>
      </c>
      <c r="E19" s="53">
        <f>[31]실험기록부!$E$10</f>
        <v>18.399999999999977</v>
      </c>
      <c r="F19" s="48">
        <f>[31]실험기록부!$F$10</f>
        <v>4.6886400000000004</v>
      </c>
      <c r="G19" s="48">
        <f>[31]실험기록부!$G$10</f>
        <v>0.44030400000000008</v>
      </c>
      <c r="H19" s="47">
        <f>[31]실험기록부!$H$10</f>
        <v>680</v>
      </c>
      <c r="I19" s="27"/>
      <c r="K19" s="65">
        <f t="shared" si="1"/>
        <v>6.95</v>
      </c>
      <c r="L19" s="66">
        <f t="shared" si="2"/>
        <v>15.374999999999998</v>
      </c>
      <c r="M19" s="66">
        <f t="shared" si="3"/>
        <v>6.1275501024140002</v>
      </c>
      <c r="N19" s="66">
        <f t="shared" si="4"/>
        <v>18.399999999999977</v>
      </c>
      <c r="O19" s="66">
        <f t="shared" si="5"/>
        <v>4.6886400000000004</v>
      </c>
      <c r="P19" s="66">
        <f t="shared" si="6"/>
        <v>0.44030400000000008</v>
      </c>
      <c r="Q19" s="67">
        <f t="shared" si="7"/>
        <v>680</v>
      </c>
      <c r="R19" s="65" t="str">
        <f t="shared" si="8"/>
        <v/>
      </c>
    </row>
    <row r="20" spans="1:18" ht="20.100000000000001" customHeight="1">
      <c r="A20" s="25">
        <f>[33]일반사항!$B$4</f>
        <v>44517</v>
      </c>
      <c r="B20" s="58">
        <f>[33]일반사항!$E$27</f>
        <v>6.9649999999999999</v>
      </c>
      <c r="C20" s="51">
        <f>[33]실험기록부!$C$10</f>
        <v>17.025000000000002</v>
      </c>
      <c r="D20" s="52">
        <f>[33]실험기록부!$D$10</f>
        <v>7.4881798195240004</v>
      </c>
      <c r="E20" s="53">
        <f>[33]실험기록부!$E$10</f>
        <v>18.399999999999977</v>
      </c>
      <c r="F20" s="48">
        <f>[33]실험기록부!$F$10</f>
        <v>6.10128</v>
      </c>
      <c r="G20" s="48">
        <f>[33]실험기록부!$G$10</f>
        <v>0.58262399999999992</v>
      </c>
      <c r="H20" s="47">
        <f>[33]실험기록부!$H$10</f>
        <v>880</v>
      </c>
      <c r="I20" s="27"/>
      <c r="K20" s="65">
        <f t="shared" si="1"/>
        <v>6.9649999999999999</v>
      </c>
      <c r="L20" s="66">
        <f t="shared" si="2"/>
        <v>17.025000000000002</v>
      </c>
      <c r="M20" s="66">
        <f t="shared" si="3"/>
        <v>7.4881798195240004</v>
      </c>
      <c r="N20" s="66">
        <f t="shared" si="4"/>
        <v>18.399999999999977</v>
      </c>
      <c r="O20" s="66">
        <f t="shared" si="5"/>
        <v>6.10128</v>
      </c>
      <c r="P20" s="66">
        <f t="shared" si="6"/>
        <v>0.58262399999999992</v>
      </c>
      <c r="Q20" s="67">
        <f t="shared" si="7"/>
        <v>880</v>
      </c>
      <c r="R20" s="65" t="str">
        <f t="shared" si="8"/>
        <v/>
      </c>
    </row>
    <row r="21" spans="1:18" ht="20.100000000000001" customHeight="1">
      <c r="A21" s="25">
        <f>[35]일반사항!$B$4</f>
        <v>44518</v>
      </c>
      <c r="B21" s="58">
        <f>[35]일반사항!$E$27</f>
        <v>6.98</v>
      </c>
      <c r="C21" s="51">
        <f>[35]실험기록부!$C$10</f>
        <v>18.187500000000007</v>
      </c>
      <c r="D21" s="52">
        <f>[35]실험기록부!$D$10</f>
        <v>8.7051695977120005</v>
      </c>
      <c r="E21" s="53">
        <f>[35]실험기록부!$E$10</f>
        <v>18.400000000000034</v>
      </c>
      <c r="F21" s="48">
        <f>[35]실험기록부!$F$10</f>
        <v>5.1244800000000001</v>
      </c>
      <c r="G21" s="48">
        <f>[35]실험기록부!$G$10</f>
        <v>0.41971200000000003</v>
      </c>
      <c r="H21" s="47">
        <f>[35]실험기록부!$H$10</f>
        <v>610</v>
      </c>
      <c r="I21" s="27"/>
      <c r="K21" s="65">
        <f t="shared" si="1"/>
        <v>6.98</v>
      </c>
      <c r="L21" s="66">
        <f t="shared" si="2"/>
        <v>18.187500000000007</v>
      </c>
      <c r="M21" s="66">
        <f t="shared" si="3"/>
        <v>8.7051695977120005</v>
      </c>
      <c r="N21" s="66">
        <f t="shared" si="4"/>
        <v>18.400000000000034</v>
      </c>
      <c r="O21" s="66">
        <f t="shared" si="5"/>
        <v>5.1244800000000001</v>
      </c>
      <c r="P21" s="66">
        <f t="shared" si="6"/>
        <v>0.41971200000000003</v>
      </c>
      <c r="Q21" s="67">
        <f t="shared" si="7"/>
        <v>610</v>
      </c>
      <c r="R21" s="65"/>
    </row>
    <row r="22" spans="1:18" ht="20.100000000000001" customHeight="1">
      <c r="A22" s="25">
        <f>[37]일반사항!$B$4</f>
        <v>44519</v>
      </c>
      <c r="B22" s="58">
        <f>[37]일반사항!$E$27</f>
        <v>6.9850000000000003</v>
      </c>
      <c r="C22" s="51">
        <f>[37]실험기록부!$C$10</f>
        <v>15.225000000000001</v>
      </c>
      <c r="D22" s="52">
        <f>[37]실험기록부!$D$10</f>
        <v>4.7611396750320001</v>
      </c>
      <c r="E22" s="53">
        <f>[37]실험기록부!$E$10</f>
        <v>16.400000000000034</v>
      </c>
      <c r="F22" s="48">
        <f>[37]실험기록부!$F$10</f>
        <v>7.00176</v>
      </c>
      <c r="G22" s="48">
        <f>[37]실험기록부!$G$10</f>
        <v>0.51681600000000005</v>
      </c>
      <c r="H22" s="47">
        <f>[37]실험기록부!$H$10</f>
        <v>750</v>
      </c>
      <c r="I22" s="27"/>
      <c r="K22" s="65">
        <f t="shared" si="1"/>
        <v>6.9850000000000003</v>
      </c>
      <c r="L22" s="66">
        <f t="shared" si="2"/>
        <v>15.225000000000001</v>
      </c>
      <c r="M22" s="66">
        <f t="shared" si="3"/>
        <v>4.7611396750320001</v>
      </c>
      <c r="N22" s="66">
        <f t="shared" si="4"/>
        <v>16.400000000000034</v>
      </c>
      <c r="O22" s="66">
        <f t="shared" si="5"/>
        <v>7.00176</v>
      </c>
      <c r="P22" s="66">
        <f t="shared" si="6"/>
        <v>0.51681600000000005</v>
      </c>
      <c r="Q22" s="67">
        <f t="shared" si="7"/>
        <v>750</v>
      </c>
      <c r="R22" s="65"/>
    </row>
    <row r="23" spans="1:18" ht="20.100000000000001" customHeight="1">
      <c r="A23" s="25">
        <f>[39]일반사항!$B$4</f>
        <v>44520</v>
      </c>
      <c r="B23" s="58">
        <f>[39]일반사항!$E$27</f>
        <v>0</v>
      </c>
      <c r="C23" s="51">
        <f>[39]실험기록부!$C$10</f>
        <v>0</v>
      </c>
      <c r="D23" s="52">
        <f>[39]실험기록부!$D$10</f>
        <v>0</v>
      </c>
      <c r="E23" s="53">
        <f>[39]실험기록부!$E$10</f>
        <v>0</v>
      </c>
      <c r="F23" s="48">
        <f>[39]실험기록부!$F$10</f>
        <v>0</v>
      </c>
      <c r="G23" s="48">
        <f>[39]실험기록부!$G$10</f>
        <v>0</v>
      </c>
      <c r="H23" s="47">
        <f>[39]실험기록부!$H$10</f>
        <v>0</v>
      </c>
      <c r="I23" s="27"/>
      <c r="K23" s="65" t="str">
        <f t="shared" si="1"/>
        <v/>
      </c>
      <c r="L23" s="66" t="str">
        <f t="shared" si="2"/>
        <v/>
      </c>
      <c r="M23" s="66" t="str">
        <f t="shared" si="3"/>
        <v/>
      </c>
      <c r="N23" s="66" t="str">
        <f t="shared" si="4"/>
        <v/>
      </c>
      <c r="O23" s="66" t="str">
        <f t="shared" si="5"/>
        <v/>
      </c>
      <c r="P23" s="66" t="str">
        <f t="shared" si="6"/>
        <v/>
      </c>
      <c r="Q23" s="67" t="str">
        <f t="shared" si="7"/>
        <v/>
      </c>
      <c r="R23" s="65"/>
    </row>
    <row r="24" spans="1:18" ht="20.100000000000001" customHeight="1">
      <c r="A24" s="25">
        <f>[41]일반사항!$B$4</f>
        <v>44521</v>
      </c>
      <c r="B24" s="58">
        <f>[41]일반사항!$E$27</f>
        <v>0</v>
      </c>
      <c r="C24" s="51">
        <f>[41]실험기록부!$C$10</f>
        <v>0</v>
      </c>
      <c r="D24" s="52">
        <f>[41]실험기록부!$D$10</f>
        <v>0</v>
      </c>
      <c r="E24" s="53">
        <f>[41]실험기록부!$E$10</f>
        <v>0</v>
      </c>
      <c r="F24" s="48">
        <f>[41]실험기록부!$F$10</f>
        <v>0</v>
      </c>
      <c r="G24" s="48">
        <f>[41]실험기록부!$G$10</f>
        <v>0</v>
      </c>
      <c r="H24" s="47">
        <f>[41]실험기록부!$H$10</f>
        <v>0</v>
      </c>
      <c r="I24" s="27"/>
      <c r="K24" s="65" t="str">
        <f t="shared" si="1"/>
        <v/>
      </c>
      <c r="L24" s="66" t="str">
        <f t="shared" si="2"/>
        <v/>
      </c>
      <c r="M24" s="66" t="str">
        <f t="shared" si="3"/>
        <v/>
      </c>
      <c r="N24" s="66" t="str">
        <f t="shared" si="4"/>
        <v/>
      </c>
      <c r="O24" s="66" t="str">
        <f t="shared" si="5"/>
        <v/>
      </c>
      <c r="P24" s="66" t="str">
        <f t="shared" si="6"/>
        <v/>
      </c>
      <c r="Q24" s="67" t="str">
        <f t="shared" si="7"/>
        <v/>
      </c>
      <c r="R24" s="65"/>
    </row>
    <row r="25" spans="1:18" ht="20.100000000000001" customHeight="1">
      <c r="A25" s="25">
        <f>[43]일반사항!$B$4</f>
        <v>44522</v>
      </c>
      <c r="B25" s="58">
        <f>[43]일반사항!$E$27</f>
        <v>6.99</v>
      </c>
      <c r="C25" s="51">
        <f>[43]실험기록부!$C$10</f>
        <v>14.85</v>
      </c>
      <c r="D25" s="52">
        <f>[43]실험기록부!$D$10</f>
        <v>10.773147700998001</v>
      </c>
      <c r="E25" s="53">
        <f>[43]실험기록부!$E$10</f>
        <v>12.400000000000034</v>
      </c>
      <c r="F25" s="48">
        <f>[43]실험기록부!$F$10</f>
        <v>6.2875199999999989</v>
      </c>
      <c r="G25" s="48">
        <f>[43]실험기록부!$G$10</f>
        <v>0.54815999999999998</v>
      </c>
      <c r="H25" s="47">
        <f>[43]실험기록부!$H$10</f>
        <v>720</v>
      </c>
      <c r="I25" s="27"/>
      <c r="K25" s="65">
        <f t="shared" si="1"/>
        <v>6.99</v>
      </c>
      <c r="L25" s="66">
        <f t="shared" si="2"/>
        <v>14.85</v>
      </c>
      <c r="M25" s="66">
        <f t="shared" si="3"/>
        <v>10.773147700998001</v>
      </c>
      <c r="N25" s="66">
        <f t="shared" si="4"/>
        <v>12.400000000000034</v>
      </c>
      <c r="O25" s="66">
        <f t="shared" si="5"/>
        <v>6.2875199999999989</v>
      </c>
      <c r="P25" s="66">
        <f t="shared" si="6"/>
        <v>0.54815999999999998</v>
      </c>
      <c r="Q25" s="67">
        <f t="shared" si="7"/>
        <v>720</v>
      </c>
      <c r="R25" s="65"/>
    </row>
    <row r="26" spans="1:18" ht="20.100000000000001" customHeight="1">
      <c r="A26" s="25">
        <f>[45]일반사항!$B$4</f>
        <v>44523</v>
      </c>
      <c r="B26" s="58">
        <f>[45]일반사항!$E$27</f>
        <v>6.97</v>
      </c>
      <c r="C26" s="51">
        <f>[45]실험기록부!$C$10</f>
        <v>13.537500000000001</v>
      </c>
      <c r="D26" s="52">
        <f>[45]실험기록부!$D$10</f>
        <v>13.368788864523999</v>
      </c>
      <c r="E26" s="53">
        <f>[45]실험기록부!$E$10</f>
        <v>11.199999999999989</v>
      </c>
      <c r="F26" s="48">
        <f>[45]실험기록부!$F$10</f>
        <v>8.150879999999999</v>
      </c>
      <c r="G26" s="48">
        <f>[45]실험기록부!$G$10</f>
        <v>0.75792000000000004</v>
      </c>
      <c r="H26" s="47">
        <f>[45]실험기록부!$H$10</f>
        <v>780</v>
      </c>
      <c r="I26" s="27"/>
      <c r="K26" s="65">
        <f t="shared" si="1"/>
        <v>6.97</v>
      </c>
      <c r="L26" s="66">
        <f t="shared" si="2"/>
        <v>13.537500000000001</v>
      </c>
      <c r="M26" s="66">
        <f t="shared" si="3"/>
        <v>13.368788864523999</v>
      </c>
      <c r="N26" s="66">
        <f t="shared" si="4"/>
        <v>11.199999999999989</v>
      </c>
      <c r="O26" s="66">
        <f t="shared" si="5"/>
        <v>8.150879999999999</v>
      </c>
      <c r="P26" s="66">
        <f t="shared" si="6"/>
        <v>0.75792000000000004</v>
      </c>
      <c r="Q26" s="67">
        <f t="shared" si="7"/>
        <v>780</v>
      </c>
      <c r="R26" s="65"/>
    </row>
    <row r="27" spans="1:18" ht="20.100000000000001" customHeight="1">
      <c r="A27" s="25">
        <f>[47]일반사항!$B$4</f>
        <v>44524</v>
      </c>
      <c r="B27" s="58">
        <f>[47]일반사항!$E$27</f>
        <v>6.9649999999999999</v>
      </c>
      <c r="C27" s="51">
        <f>[47]실험기록부!$C$10</f>
        <v>15.074999999999999</v>
      </c>
      <c r="D27" s="52">
        <f>[47]실험기록부!$D$10</f>
        <v>4.3606755746400001</v>
      </c>
      <c r="E27" s="53">
        <f>[47]실험기록부!$E$10</f>
        <v>14</v>
      </c>
      <c r="F27" s="48">
        <f>[47]실험기록부!$F$10</f>
        <v>6.8452799999999998</v>
      </c>
      <c r="G27" s="48">
        <f>[47]실험기록부!$G$10</f>
        <v>0.42158400000000001</v>
      </c>
      <c r="H27" s="47">
        <f>[47]실험기록부!$H$10</f>
        <v>1000</v>
      </c>
      <c r="I27" s="27"/>
      <c r="K27" s="65">
        <f t="shared" si="1"/>
        <v>6.9649999999999999</v>
      </c>
      <c r="L27" s="66">
        <f t="shared" si="2"/>
        <v>15.074999999999999</v>
      </c>
      <c r="M27" s="66">
        <f t="shared" si="3"/>
        <v>4.3606755746400001</v>
      </c>
      <c r="N27" s="66">
        <f t="shared" si="4"/>
        <v>14</v>
      </c>
      <c r="O27" s="66">
        <f t="shared" si="5"/>
        <v>6.8452799999999998</v>
      </c>
      <c r="P27" s="66">
        <f t="shared" si="6"/>
        <v>0.42158400000000001</v>
      </c>
      <c r="Q27" s="67">
        <f t="shared" si="7"/>
        <v>1000</v>
      </c>
      <c r="R27" s="65"/>
    </row>
    <row r="28" spans="1:18" ht="20.100000000000001" customHeight="1">
      <c r="A28" s="25">
        <f>[49]일반사항!$B$4</f>
        <v>44525</v>
      </c>
      <c r="B28" s="58">
        <f>[49]일반사항!$E$27</f>
        <v>7</v>
      </c>
      <c r="C28" s="51">
        <f>[49]실험기록부!$C$10</f>
        <v>14.287499999999998</v>
      </c>
      <c r="D28" s="52">
        <f>[49]실험기록부!$D$10</f>
        <v>5.7202862112000004</v>
      </c>
      <c r="E28" s="53">
        <f>[49]실험기록부!$E$10</f>
        <v>14</v>
      </c>
      <c r="F28" s="48">
        <f>[49]실험기록부!$F$10</f>
        <v>7.4231999999999996</v>
      </c>
      <c r="G28" s="48">
        <f>[49]실험기록부!$G$10</f>
        <v>0.51427199999999995</v>
      </c>
      <c r="H28" s="47">
        <f>[49]실험기록부!$H$10</f>
        <v>820</v>
      </c>
      <c r="I28" s="27"/>
      <c r="J28" s="14"/>
      <c r="K28" s="65">
        <f t="shared" si="1"/>
        <v>7</v>
      </c>
      <c r="L28" s="66">
        <f t="shared" si="2"/>
        <v>14.287499999999998</v>
      </c>
      <c r="M28" s="66">
        <f t="shared" si="3"/>
        <v>5.7202862112000004</v>
      </c>
      <c r="N28" s="66">
        <f t="shared" si="4"/>
        <v>14</v>
      </c>
      <c r="O28" s="66">
        <f t="shared" si="5"/>
        <v>7.4231999999999996</v>
      </c>
      <c r="P28" s="66">
        <f t="shared" si="6"/>
        <v>0.51427199999999995</v>
      </c>
      <c r="Q28" s="67">
        <f t="shared" si="7"/>
        <v>820</v>
      </c>
      <c r="R28" s="65"/>
    </row>
    <row r="29" spans="1:18" ht="20.100000000000001" customHeight="1">
      <c r="A29" s="25">
        <f>[51]일반사항!$B$4</f>
        <v>44526</v>
      </c>
      <c r="B29" s="58">
        <f>[51]일반사항!$E$27</f>
        <v>6.95</v>
      </c>
      <c r="C29" s="51">
        <f>[51]실험기록부!$C$10</f>
        <v>13.349999999999998</v>
      </c>
      <c r="D29" s="52">
        <f>[51]실험기록부!$D$10</f>
        <v>9.0805789848960003</v>
      </c>
      <c r="E29" s="53">
        <f>[51]실험기록부!$E$10</f>
        <v>15.199999999999989</v>
      </c>
      <c r="F29" s="48">
        <f>[51]실험기록부!$F$10</f>
        <v>8.2896000000000001</v>
      </c>
      <c r="G29" s="48">
        <f>[51]실험기록부!$G$10</f>
        <v>0.78014399999999995</v>
      </c>
      <c r="H29" s="47">
        <f>[51]실험기록부!$H$10</f>
        <v>690</v>
      </c>
      <c r="I29" s="27"/>
      <c r="K29" s="65">
        <f t="shared" si="1"/>
        <v>6.95</v>
      </c>
      <c r="L29" s="66">
        <f t="shared" si="2"/>
        <v>13.349999999999998</v>
      </c>
      <c r="M29" s="66">
        <f t="shared" si="3"/>
        <v>9.0805789848960003</v>
      </c>
      <c r="N29" s="66">
        <f t="shared" si="4"/>
        <v>15.199999999999989</v>
      </c>
      <c r="O29" s="66">
        <f t="shared" si="5"/>
        <v>8.2896000000000001</v>
      </c>
      <c r="P29" s="66">
        <f t="shared" si="6"/>
        <v>0.78014399999999995</v>
      </c>
      <c r="Q29" s="67">
        <f t="shared" si="7"/>
        <v>690</v>
      </c>
      <c r="R29" s="65"/>
    </row>
    <row r="30" spans="1:18" ht="20.100000000000001" customHeight="1">
      <c r="A30" s="25">
        <f>[53]일반사항!$B$4</f>
        <v>44527</v>
      </c>
      <c r="B30" s="58">
        <f>[53]일반사항!$E$27</f>
        <v>0</v>
      </c>
      <c r="C30" s="51">
        <f>[53]실험기록부!$C$10</f>
        <v>0</v>
      </c>
      <c r="D30" s="52">
        <f>[53]실험기록부!$D$10</f>
        <v>0</v>
      </c>
      <c r="E30" s="53">
        <f>[53]실험기록부!$E$10</f>
        <v>0</v>
      </c>
      <c r="F30" s="48">
        <f>[53]실험기록부!$F$10</f>
        <v>0</v>
      </c>
      <c r="G30" s="48">
        <f>[53]실험기록부!$G$10</f>
        <v>0</v>
      </c>
      <c r="H30" s="47">
        <f>[53]실험기록부!$H$10</f>
        <v>0</v>
      </c>
      <c r="I30" s="27"/>
      <c r="K30" s="65" t="str">
        <f t="shared" si="1"/>
        <v/>
      </c>
      <c r="L30" s="66" t="str">
        <f t="shared" si="2"/>
        <v/>
      </c>
      <c r="M30" s="66" t="str">
        <f t="shared" si="3"/>
        <v/>
      </c>
      <c r="N30" s="66" t="str">
        <f t="shared" si="4"/>
        <v/>
      </c>
      <c r="O30" s="66" t="str">
        <f t="shared" si="5"/>
        <v/>
      </c>
      <c r="P30" s="66" t="str">
        <f t="shared" si="6"/>
        <v/>
      </c>
      <c r="Q30" s="67" t="str">
        <f t="shared" si="7"/>
        <v/>
      </c>
      <c r="R30" s="65"/>
    </row>
    <row r="31" spans="1:18" ht="20.100000000000001" customHeight="1">
      <c r="A31" s="25">
        <f>[55]일반사항!$B$4</f>
        <v>44528</v>
      </c>
      <c r="B31" s="58">
        <f>[55]일반사항!$E$27</f>
        <v>0</v>
      </c>
      <c r="C31" s="51">
        <f>[55]실험기록부!$C$10</f>
        <v>0</v>
      </c>
      <c r="D31" s="52">
        <f>[55]실험기록부!$D$10</f>
        <v>0</v>
      </c>
      <c r="E31" s="53">
        <f>[55]실험기록부!$E$10</f>
        <v>0</v>
      </c>
      <c r="F31" s="48">
        <f>[55]실험기록부!$F$10</f>
        <v>0</v>
      </c>
      <c r="G31" s="48">
        <f>[55]실험기록부!$G$10</f>
        <v>0</v>
      </c>
      <c r="H31" s="47">
        <f>[55]실험기록부!$H$10</f>
        <v>0</v>
      </c>
      <c r="I31" s="27"/>
      <c r="K31" s="65" t="str">
        <f t="shared" si="1"/>
        <v/>
      </c>
      <c r="L31" s="66" t="str">
        <f t="shared" si="2"/>
        <v/>
      </c>
      <c r="M31" s="66" t="str">
        <f t="shared" si="3"/>
        <v/>
      </c>
      <c r="N31" s="66" t="str">
        <f t="shared" si="4"/>
        <v/>
      </c>
      <c r="O31" s="66" t="str">
        <f t="shared" si="5"/>
        <v/>
      </c>
      <c r="P31" s="66" t="str">
        <f t="shared" si="6"/>
        <v/>
      </c>
      <c r="Q31" s="67" t="str">
        <f t="shared" si="7"/>
        <v/>
      </c>
      <c r="R31" s="65"/>
    </row>
    <row r="32" spans="1:18" ht="20.100000000000001" customHeight="1">
      <c r="A32" s="25">
        <f>[57]일반사항!$B$4</f>
        <v>44529</v>
      </c>
      <c r="B32" s="58">
        <f>[57]일반사항!$E$27</f>
        <v>7.02</v>
      </c>
      <c r="C32" s="51">
        <f>[57]실험기록부!$C$10</f>
        <v>15.487499999999999</v>
      </c>
      <c r="D32" s="52">
        <f>[57]실험기록부!$D$10</f>
        <v>9.6007022987680006</v>
      </c>
      <c r="E32" s="53">
        <f>[57]실험기록부!$E$10</f>
        <v>14.399999999999979</v>
      </c>
      <c r="F32" s="48">
        <f>[57]실험기록부!$F$10</f>
        <v>7.5648</v>
      </c>
      <c r="G32" s="48">
        <f>[57]실험기록부!$G$10</f>
        <v>0.41140800000000005</v>
      </c>
      <c r="H32" s="47">
        <f>[57]실험기록부!$H$10</f>
        <v>840</v>
      </c>
      <c r="I32" s="27"/>
      <c r="K32" s="65">
        <f t="shared" si="1"/>
        <v>7.02</v>
      </c>
      <c r="L32" s="66">
        <f t="shared" si="2"/>
        <v>15.487499999999999</v>
      </c>
      <c r="M32" s="66">
        <f t="shared" si="3"/>
        <v>9.6007022987680006</v>
      </c>
      <c r="N32" s="66">
        <f t="shared" si="4"/>
        <v>14.399999999999979</v>
      </c>
      <c r="O32" s="66">
        <f t="shared" si="5"/>
        <v>7.5648</v>
      </c>
      <c r="P32" s="66">
        <f t="shared" si="6"/>
        <v>0.41140800000000005</v>
      </c>
      <c r="Q32" s="67">
        <f t="shared" si="7"/>
        <v>840</v>
      </c>
      <c r="R32" s="65"/>
    </row>
    <row r="33" spans="1:18" ht="20.100000000000001" customHeight="1">
      <c r="A33" s="25">
        <f>[59]일반사항!$B$4</f>
        <v>44530</v>
      </c>
      <c r="B33" s="58">
        <f>[59]일반사항!$E$27</f>
        <v>6.9850000000000003</v>
      </c>
      <c r="C33" s="51">
        <f>[59]실험기록부!$C$10</f>
        <v>12.824999999999996</v>
      </c>
      <c r="D33" s="52">
        <f>[59]실험기록부!$D$10</f>
        <v>9.9932245377219999</v>
      </c>
      <c r="E33" s="53">
        <f>[59]실험기록부!$E$10</f>
        <v>17.199999999999989</v>
      </c>
      <c r="F33" s="48">
        <f>[59]실험기록부!$F$10</f>
        <v>6.5476799999999997</v>
      </c>
      <c r="G33" s="48">
        <f>[59]실험기록부!$G$10</f>
        <v>0.43348799999999998</v>
      </c>
      <c r="H33" s="47">
        <f>[59]실험기록부!$H$10</f>
        <v>510</v>
      </c>
      <c r="I33" s="27"/>
      <c r="K33" s="65">
        <f t="shared" si="1"/>
        <v>6.9850000000000003</v>
      </c>
      <c r="L33" s="66">
        <f t="shared" si="2"/>
        <v>12.824999999999996</v>
      </c>
      <c r="M33" s="66">
        <f t="shared" si="3"/>
        <v>9.9932245377219999</v>
      </c>
      <c r="N33" s="66">
        <f t="shared" si="4"/>
        <v>17.199999999999989</v>
      </c>
      <c r="O33" s="66">
        <f t="shared" si="5"/>
        <v>6.5476799999999997</v>
      </c>
      <c r="P33" s="66">
        <f t="shared" si="6"/>
        <v>0.43348799999999998</v>
      </c>
      <c r="Q33" s="67">
        <f t="shared" si="7"/>
        <v>510</v>
      </c>
      <c r="R33" s="65"/>
    </row>
    <row r="34" spans="1:18" ht="20.100000000000001" customHeight="1" thickBot="1">
      <c r="A34" s="28"/>
      <c r="B34" s="59"/>
      <c r="C34" s="54"/>
      <c r="D34" s="55"/>
      <c r="E34" s="56"/>
      <c r="F34" s="49"/>
      <c r="G34" s="49"/>
      <c r="H34" s="50"/>
      <c r="I34" s="34"/>
      <c r="K34" s="66"/>
      <c r="L34" s="66"/>
      <c r="M34" s="66"/>
      <c r="N34" s="66"/>
      <c r="O34" s="66"/>
      <c r="P34" s="66"/>
      <c r="Q34" s="66"/>
      <c r="R34" s="66"/>
    </row>
    <row r="35" spans="1:18" ht="20.100000000000001" customHeight="1" thickTop="1">
      <c r="A35" s="15" t="s">
        <v>0</v>
      </c>
      <c r="B35" s="68">
        <f t="shared" ref="B35:H35" si="9">MAX(B4:B33)</f>
        <v>7.02</v>
      </c>
      <c r="C35" s="69">
        <f t="shared" si="9"/>
        <v>18.637499999999996</v>
      </c>
      <c r="D35" s="69">
        <f t="shared" si="9"/>
        <v>13.368788864523999</v>
      </c>
      <c r="E35" s="69">
        <f t="shared" si="9"/>
        <v>18.800000000000011</v>
      </c>
      <c r="F35" s="70">
        <f t="shared" si="9"/>
        <v>10.484640000000001</v>
      </c>
      <c r="G35" s="70">
        <f t="shared" si="9"/>
        <v>0.78014399999999995</v>
      </c>
      <c r="H35" s="71">
        <f t="shared" si="9"/>
        <v>1000</v>
      </c>
      <c r="I35" s="87"/>
    </row>
    <row r="36" spans="1:18" ht="20.100000000000001" customHeight="1">
      <c r="A36" s="1" t="s">
        <v>1</v>
      </c>
      <c r="B36" s="72">
        <f t="shared" ref="B36:H36" si="10">MIN(K4:K33)</f>
        <v>6.92</v>
      </c>
      <c r="C36" s="73">
        <f t="shared" si="10"/>
        <v>12.824999999999996</v>
      </c>
      <c r="D36" s="73">
        <f t="shared" si="10"/>
        <v>3.9875951968379999</v>
      </c>
      <c r="E36" s="73">
        <f t="shared" si="10"/>
        <v>11.199999999999989</v>
      </c>
      <c r="F36" s="74">
        <f t="shared" si="10"/>
        <v>4.6886400000000004</v>
      </c>
      <c r="G36" s="74">
        <f t="shared" si="10"/>
        <v>0.39830400000000005</v>
      </c>
      <c r="H36" s="47">
        <f t="shared" si="10"/>
        <v>420</v>
      </c>
      <c r="I36" s="79"/>
    </row>
    <row r="37" spans="1:18" ht="20.100000000000001" customHeight="1" thickBot="1">
      <c r="A37" s="2" t="s">
        <v>2</v>
      </c>
      <c r="B37" s="75">
        <f t="shared" ref="B37:H37" si="11">AVERAGEIF(B4:B33,"&gt;0")</f>
        <v>6.971136363636365</v>
      </c>
      <c r="C37" s="76">
        <f t="shared" si="11"/>
        <v>15.600000000000001</v>
      </c>
      <c r="D37" s="76">
        <f t="shared" si="11"/>
        <v>7.4871225782488189</v>
      </c>
      <c r="E37" s="76">
        <f t="shared" si="11"/>
        <v>16.563636363636366</v>
      </c>
      <c r="F37" s="77">
        <f t="shared" si="11"/>
        <v>6.9563345454545473</v>
      </c>
      <c r="G37" s="77">
        <f t="shared" si="11"/>
        <v>0.52392654545454542</v>
      </c>
      <c r="H37" s="78">
        <f t="shared" si="11"/>
        <v>747.27272727272725</v>
      </c>
      <c r="I37" s="80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view="pageBreakPreview" zoomScaleSheetLayoutView="100" workbookViewId="0">
      <pane xSplit="1" ySplit="3" topLeftCell="B4" activePane="bottomRight" state="frozen"/>
      <selection activeCell="L11" sqref="L11"/>
      <selection pane="topRight" activeCell="L11" sqref="L11"/>
      <selection pane="bottomLeft" activeCell="L11" sqref="L11"/>
      <selection pane="bottomRight" activeCell="L11" sqref="L11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2" t="s">
        <v>26</v>
      </c>
      <c r="B1" s="122"/>
      <c r="C1" s="122"/>
      <c r="D1" s="122"/>
      <c r="E1" s="122"/>
      <c r="F1" s="122"/>
      <c r="G1" s="122"/>
      <c r="H1" s="122"/>
      <c r="I1" s="122"/>
    </row>
    <row r="2" spans="1:10" ht="20.100000000000001" customHeight="1">
      <c r="A2" s="117" t="s">
        <v>14</v>
      </c>
      <c r="B2" s="119" t="s">
        <v>10</v>
      </c>
      <c r="C2" s="120"/>
      <c r="D2" s="120"/>
      <c r="E2" s="120"/>
      <c r="F2" s="120"/>
      <c r="G2" s="120"/>
      <c r="H2" s="120"/>
      <c r="I2" s="121"/>
    </row>
    <row r="3" spans="1:10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44501</v>
      </c>
      <c r="B4" s="88">
        <f>[1]일반사항!$E$28</f>
        <v>6.92</v>
      </c>
      <c r="C4" s="89">
        <f>[1]실험기록부!$C$11</f>
        <v>1.4400000000000004</v>
      </c>
      <c r="D4" s="90">
        <f>[1]실험기록부!$D$11</f>
        <v>5.1409294000479999</v>
      </c>
      <c r="E4" s="22">
        <f>[1]실험기록부!$E$11</f>
        <v>4.5999999999999943</v>
      </c>
      <c r="F4" s="23">
        <f>[1]실험기록부!$F$11</f>
        <v>7.1640000000000015</v>
      </c>
      <c r="G4" s="23">
        <f>[1]실험기록부!$G$11</f>
        <v>0.123312</v>
      </c>
      <c r="H4" s="24">
        <f>[1]실험기록부!$H$11</f>
        <v>7.5</v>
      </c>
      <c r="I4" s="26">
        <f>[2]커버3!$G$13</f>
        <v>574</v>
      </c>
      <c r="J4" s="96">
        <f>[1]일반사항!$D$28</f>
        <v>18.350000000000001</v>
      </c>
    </row>
    <row r="5" spans="1:10" ht="20.100000000000001" customHeight="1">
      <c r="A5" s="25">
        <f>[3]일반사항!$B$4</f>
        <v>44502</v>
      </c>
      <c r="B5" s="16">
        <f>[3]일반사항!$E$28</f>
        <v>6.9050000000000002</v>
      </c>
      <c r="C5" s="45">
        <f>[3]실험기록부!$C$11</f>
        <v>2.5599999999999996</v>
      </c>
      <c r="D5" s="17">
        <f>[3]실험기록부!$D$11</f>
        <v>4.0634204717919999</v>
      </c>
      <c r="E5" s="18">
        <f>[3]실험기록부!$E$11</f>
        <v>3.2000000000000175</v>
      </c>
      <c r="F5" s="19">
        <f>[3]실험기록부!$F$11</f>
        <v>7.8052800000000007</v>
      </c>
      <c r="G5" s="19">
        <f>[3]실험기록부!$G$11</f>
        <v>9.6959999999999991E-2</v>
      </c>
      <c r="H5" s="20">
        <f>[3]실험기록부!$H$11</f>
        <v>7.5</v>
      </c>
      <c r="I5" s="27">
        <f>[4]커버3!$G$13</f>
        <v>550</v>
      </c>
      <c r="J5" s="96">
        <f>[3]일반사항!$D$28</f>
        <v>18.25</v>
      </c>
    </row>
    <row r="6" spans="1:10" ht="20.100000000000001" customHeight="1">
      <c r="A6" s="25">
        <f>[5]일반사항!$B$4</f>
        <v>44503</v>
      </c>
      <c r="B6" s="16">
        <f>[5]일반사항!$E$28</f>
        <v>6.8849999999999998</v>
      </c>
      <c r="C6" s="45">
        <f>[5]실험기록부!$C$11</f>
        <v>2.67</v>
      </c>
      <c r="D6" s="17">
        <f>[5]실험기록부!$D$11</f>
        <v>3.9326420406759999</v>
      </c>
      <c r="E6" s="18">
        <f>[5]실험기록부!$E$11</f>
        <v>4</v>
      </c>
      <c r="F6" s="19">
        <f>[5]실험기록부!$F$11</f>
        <v>6.0196800000000001</v>
      </c>
      <c r="G6" s="19">
        <f>[5]실험기록부!$G$11</f>
        <v>0.10430399999999999</v>
      </c>
      <c r="H6" s="20">
        <f>[5]실험기록부!$H$11</f>
        <v>1.5</v>
      </c>
      <c r="I6" s="27">
        <f>[6]커버3!$G$13</f>
        <v>551</v>
      </c>
      <c r="J6" s="96">
        <f>[5]일반사항!$D$28</f>
        <v>17.95</v>
      </c>
    </row>
    <row r="7" spans="1:10" ht="20.100000000000001" customHeight="1">
      <c r="A7" s="25">
        <f>[7]일반사항!$B$4</f>
        <v>44504</v>
      </c>
      <c r="B7" s="16">
        <f>[7]일반사항!$E$28</f>
        <v>6.9050000000000002</v>
      </c>
      <c r="C7" s="45">
        <f>[7]실험기록부!$C$11</f>
        <v>2.2300000000000004</v>
      </c>
      <c r="D7" s="17">
        <f>[7]실험기록부!$D$11</f>
        <v>5.9179925951880001</v>
      </c>
      <c r="E7" s="18">
        <f>[7]실험기록부!$E$11</f>
        <v>3.8000000000000114</v>
      </c>
      <c r="F7" s="19">
        <f>[7]실험기록부!$F$11</f>
        <v>7.2585600000000001</v>
      </c>
      <c r="G7" s="19">
        <f>[7]실험기록부!$G$11</f>
        <v>0.15259199999999998</v>
      </c>
      <c r="H7" s="20">
        <f>[7]실험기록부!$H$11</f>
        <v>7</v>
      </c>
      <c r="I7" s="27">
        <f>[8]커버3!$G$13</f>
        <v>568</v>
      </c>
      <c r="J7" s="96">
        <f>[7]일반사항!$D$28</f>
        <v>18.149999999999999</v>
      </c>
    </row>
    <row r="8" spans="1:10" ht="20.100000000000001" customHeight="1">
      <c r="A8" s="25">
        <f>[9]일반사항!$B$4</f>
        <v>44505</v>
      </c>
      <c r="B8" s="16">
        <f>[9]일반사항!$E$28</f>
        <v>6.9450000000000003</v>
      </c>
      <c r="C8" s="45">
        <f>[9]실험기록부!$C$11</f>
        <v>2.7699999999999996</v>
      </c>
      <c r="D8" s="17">
        <f>[9]실험기록부!$D$11</f>
        <v>6.0534195899299998</v>
      </c>
      <c r="E8" s="18">
        <f>[9]실험기록부!$E$11</f>
        <v>3.1999999999999886</v>
      </c>
      <c r="F8" s="19">
        <f>[9]실험기록부!$F$11</f>
        <v>6.4483200000000007</v>
      </c>
      <c r="G8" s="19">
        <f>[9]실험기록부!$G$11</f>
        <v>0.221856</v>
      </c>
      <c r="H8" s="20">
        <f>[9]실험기록부!$H$11</f>
        <v>4.5</v>
      </c>
      <c r="I8" s="27">
        <f>[10]커버3!$G$13</f>
        <v>579</v>
      </c>
      <c r="J8" s="96">
        <f>[9]일반사항!$D$28</f>
        <v>18.149999999999999</v>
      </c>
    </row>
    <row r="9" spans="1:10" ht="20.100000000000001" customHeight="1">
      <c r="A9" s="25">
        <f>[11]일반사항!$B$4</f>
        <v>44506</v>
      </c>
      <c r="B9" s="16">
        <f>[11]일반사항!$E$28</f>
        <v>6.94</v>
      </c>
      <c r="C9" s="45">
        <f>[11]실험기록부!$C$11</f>
        <v>2.3100000000000005</v>
      </c>
      <c r="D9" s="17">
        <f>[11]실험기록부!$D$11</f>
        <v>3.6028572320359999</v>
      </c>
      <c r="E9" s="18">
        <f>[11]실험기록부!$E$11</f>
        <v>3.4000000000000052</v>
      </c>
      <c r="F9" s="19">
        <f>[11]실험기록부!$F$11</f>
        <v>4.6619999999999999</v>
      </c>
      <c r="G9" s="19">
        <f>[11]실험기록부!$G$11</f>
        <v>0.17899999999999999</v>
      </c>
      <c r="H9" s="20">
        <f>[11]실험기록부!$H$11</f>
        <v>13</v>
      </c>
      <c r="I9" s="27">
        <f>[12]커버3!$G$13</f>
        <v>570</v>
      </c>
      <c r="J9" s="96">
        <f>[11]일반사항!$D$28</f>
        <v>18.05</v>
      </c>
    </row>
    <row r="10" spans="1:10" ht="20.100000000000001" customHeight="1">
      <c r="A10" s="25">
        <f>[13]일반사항!$B$4</f>
        <v>44507</v>
      </c>
      <c r="B10" s="16">
        <f>[13]일반사항!$E$28</f>
        <v>6.95</v>
      </c>
      <c r="C10" s="45">
        <f>[13]실험기록부!$C$11</f>
        <v>1.9299999999999997</v>
      </c>
      <c r="D10" s="17">
        <f>[13]실험기록부!$D$11</f>
        <v>3.611020663928</v>
      </c>
      <c r="E10" s="18">
        <f>[13]실험기록부!$E$11</f>
        <v>4.8000000000000105</v>
      </c>
      <c r="F10" s="19">
        <f>[13]실험기록부!$F$11</f>
        <v>4.7830000000000004</v>
      </c>
      <c r="G10" s="19">
        <f>[13]실험기록부!$G$11</f>
        <v>0.17699999999999999</v>
      </c>
      <c r="H10" s="20">
        <f>[13]실험기록부!$H$11</f>
        <v>5.5</v>
      </c>
      <c r="I10" s="27">
        <f>[14]커버3!$G$13</f>
        <v>564</v>
      </c>
      <c r="J10" s="96">
        <f>[13]일반사항!$D$28</f>
        <v>17.95</v>
      </c>
    </row>
    <row r="11" spans="1:10" ht="20.100000000000001" customHeight="1">
      <c r="A11" s="25">
        <f>[15]일반사항!$B$4</f>
        <v>44508</v>
      </c>
      <c r="B11" s="16">
        <f>[15]일반사항!$E$28</f>
        <v>6.9450000000000003</v>
      </c>
      <c r="C11" s="45">
        <f>[15]실험기록부!$C$11</f>
        <v>3.2700000000000005</v>
      </c>
      <c r="D11" s="17">
        <f>[15]실험기록부!$D$11</f>
        <v>4.3314626018359998</v>
      </c>
      <c r="E11" s="18">
        <f>[15]실험기록부!$E$11</f>
        <v>4.4000000000000057</v>
      </c>
      <c r="F11" s="19">
        <f>[15]실험기록부!$F$11</f>
        <v>6.8078400000000006</v>
      </c>
      <c r="G11" s="19">
        <f>[15]실험기록부!$G$11</f>
        <v>0.11587199999999999</v>
      </c>
      <c r="H11" s="20">
        <f>[15]실험기록부!$H$11</f>
        <v>1.5</v>
      </c>
      <c r="I11" s="27">
        <f>[16]커버3!$G$13</f>
        <v>634</v>
      </c>
      <c r="J11" s="96">
        <f>[15]일반사항!$D$28</f>
        <v>17.5</v>
      </c>
    </row>
    <row r="12" spans="1:10" ht="20.100000000000001" customHeight="1">
      <c r="A12" s="25">
        <f>[17]일반사항!$B$4</f>
        <v>44509</v>
      </c>
      <c r="B12" s="16">
        <f>[17]일반사항!$E$28</f>
        <v>6.9450000000000003</v>
      </c>
      <c r="C12" s="45">
        <f>[17]실험기록부!$C$11</f>
        <v>2.5</v>
      </c>
      <c r="D12" s="17">
        <f>[17]실험기록부!$D$11</f>
        <v>3.9375732572479998</v>
      </c>
      <c r="E12" s="18">
        <f>[17]실험기록부!$E$11</f>
        <v>3.5999999999999948</v>
      </c>
      <c r="F12" s="19">
        <f>[17]실험기록부!$F$11</f>
        <v>6.6758399999999991</v>
      </c>
      <c r="G12" s="19">
        <f>[17]실험기록부!$G$11</f>
        <v>8.764799999999999E-2</v>
      </c>
      <c r="H12" s="20">
        <f>[17]실험기록부!$H$11</f>
        <v>7</v>
      </c>
      <c r="I12" s="27">
        <f>[18]커버3!$G$13</f>
        <v>541</v>
      </c>
      <c r="J12" s="96">
        <f>[17]일반사항!$D$28</f>
        <v>17.45</v>
      </c>
    </row>
    <row r="13" spans="1:10" ht="20.100000000000001" customHeight="1">
      <c r="A13" s="25">
        <f>[19]일반사항!$B$4</f>
        <v>44510</v>
      </c>
      <c r="B13" s="16">
        <f>[19]일반사항!$E$28</f>
        <v>6.93</v>
      </c>
      <c r="C13" s="45">
        <f>[19]실험기록부!$C$11</f>
        <v>2.16</v>
      </c>
      <c r="D13" s="17">
        <f>[19]실험기록부!$D$11</f>
        <v>3.9630785193600002</v>
      </c>
      <c r="E13" s="18">
        <f>[19]실험기록부!$E$11</f>
        <v>4.2000000000000171</v>
      </c>
      <c r="F13" s="19">
        <f>[19]실험기록부!$F$11</f>
        <v>5.5886399999999998</v>
      </c>
      <c r="G13" s="19">
        <f>[19]실험기록부!$G$11</f>
        <v>0.105744</v>
      </c>
      <c r="H13" s="20">
        <f>[19]실험기록부!$H$11</f>
        <v>10</v>
      </c>
      <c r="I13" s="27">
        <f>[20]커버3!$G$13</f>
        <v>592</v>
      </c>
      <c r="J13" s="96">
        <f>[19]일반사항!$D$28</f>
        <v>17.100000000000001</v>
      </c>
    </row>
    <row r="14" spans="1:10" ht="20.100000000000001" customHeight="1">
      <c r="A14" s="25">
        <f>[21]일반사항!$B$4</f>
        <v>44511</v>
      </c>
      <c r="B14" s="16">
        <f>[21]일반사항!$E$28</f>
        <v>6.9</v>
      </c>
      <c r="C14" s="45">
        <f>[21]실험기록부!$C$11</f>
        <v>2.3800000000000008</v>
      </c>
      <c r="D14" s="17">
        <f>[21]실험기록부!$D$11</f>
        <v>3.70154795883</v>
      </c>
      <c r="E14" s="18">
        <f>[21]실험기록부!$E$11</f>
        <v>4.5999999999999943</v>
      </c>
      <c r="F14" s="19">
        <f>[21]실험기록부!$F$11</f>
        <v>5.9918399999999998</v>
      </c>
      <c r="G14" s="19">
        <f>[21]실험기록부!$G$11</f>
        <v>0.104976</v>
      </c>
      <c r="H14" s="20">
        <f>[21]실험기록부!$H$11</f>
        <v>7.5</v>
      </c>
      <c r="I14" s="27">
        <f>[22]커버3!$G$13</f>
        <v>539</v>
      </c>
      <c r="J14" s="96">
        <f>[21]일반사항!$D$28</f>
        <v>17.5</v>
      </c>
    </row>
    <row r="15" spans="1:10" ht="20.100000000000001" customHeight="1">
      <c r="A15" s="25">
        <f>[23]일반사항!$B$4</f>
        <v>44512</v>
      </c>
      <c r="B15" s="16">
        <f>[23]일반사항!$E$28</f>
        <v>6.9050000000000002</v>
      </c>
      <c r="C15" s="45">
        <f>[23]실험기록부!$C$11</f>
        <v>2.7599999999999989</v>
      </c>
      <c r="D15" s="17">
        <f>[23]실험기록부!$D$11</f>
        <v>1.798501038058</v>
      </c>
      <c r="E15" s="18">
        <f>[23]실험기록부!$E$11</f>
        <v>4.1999999999999895</v>
      </c>
      <c r="F15" s="19">
        <f>[23]실험기록부!$F$11</f>
        <v>6.0163200000000003</v>
      </c>
      <c r="G15" s="19">
        <f>[23]실험기록부!$G$11</f>
        <v>0.101424</v>
      </c>
      <c r="H15" s="20">
        <f>[23]실험기록부!$H$11</f>
        <v>8</v>
      </c>
      <c r="I15" s="27">
        <f>[24]커버3!$G$13</f>
        <v>600</v>
      </c>
      <c r="J15" s="96">
        <f>[23]일반사항!$D$28</f>
        <v>17.600000000000001</v>
      </c>
    </row>
    <row r="16" spans="1:10" ht="20.100000000000001" customHeight="1">
      <c r="A16" s="25">
        <f>[25]일반사항!$B$4</f>
        <v>44513</v>
      </c>
      <c r="B16" s="16">
        <f>[25]일반사항!$E$28</f>
        <v>6.9050000000000002</v>
      </c>
      <c r="C16" s="45">
        <f>[25]실험기록부!$C$11</f>
        <v>2.29</v>
      </c>
      <c r="D16" s="17">
        <f>[25]실험기록부!$D$11</f>
        <v>3.8154470140060002</v>
      </c>
      <c r="E16" s="18">
        <f>[25]실험기록부!$E$11</f>
        <v>4</v>
      </c>
      <c r="F16" s="19">
        <f>[25]실험기록부!$F$11</f>
        <v>4.9219999999999997</v>
      </c>
      <c r="G16" s="19">
        <f>[25]실험기록부!$G$11</f>
        <v>0.13700000000000001</v>
      </c>
      <c r="H16" s="20">
        <f>[25]실험기록부!$H$11</f>
        <v>18</v>
      </c>
      <c r="I16" s="27">
        <f>[26]커버3!$G$13</f>
        <v>597</v>
      </c>
      <c r="J16" s="96">
        <f>[25]일반사항!$D$28</f>
        <v>17.25</v>
      </c>
    </row>
    <row r="17" spans="1:10" ht="20.100000000000001" customHeight="1">
      <c r="A17" s="25">
        <f>[27]일반사항!$B$4</f>
        <v>44514</v>
      </c>
      <c r="B17" s="16">
        <f>[27]일반사항!$E$28</f>
        <v>6.92</v>
      </c>
      <c r="C17" s="45">
        <f>[27]실험기록부!$C$11</f>
        <v>2.6799999999999997</v>
      </c>
      <c r="D17" s="17">
        <f>[27]실험기록부!$D$11</f>
        <v>3.4126332022839998</v>
      </c>
      <c r="E17" s="18">
        <f>[27]실험기록부!$E$11</f>
        <v>4</v>
      </c>
      <c r="F17" s="19">
        <f>[27]실험기록부!$F$11</f>
        <v>5.165</v>
      </c>
      <c r="G17" s="19">
        <f>[27]실험기록부!$G$11</f>
        <v>0.16400000000000001</v>
      </c>
      <c r="H17" s="20">
        <f>[27]실험기록부!$H$11</f>
        <v>16</v>
      </c>
      <c r="I17" s="27">
        <f>[28]커버3!$G$13</f>
        <v>613</v>
      </c>
      <c r="J17" s="96">
        <f>[27]일반사항!$D$28</f>
        <v>17.399999999999999</v>
      </c>
    </row>
    <row r="18" spans="1:10" ht="20.100000000000001" customHeight="1">
      <c r="A18" s="25">
        <f>[29]일반사항!$B$4</f>
        <v>44515</v>
      </c>
      <c r="B18" s="16">
        <f>[29]일반사항!$E$28</f>
        <v>6.93</v>
      </c>
      <c r="C18" s="45">
        <f>[29]실험기록부!$C$11</f>
        <v>2.5300000000000011</v>
      </c>
      <c r="D18" s="17">
        <f>[29]실험기록부!$D$11</f>
        <v>3.997922212522</v>
      </c>
      <c r="E18" s="18">
        <f>[29]실험기록부!$E$11</f>
        <v>4.1999999999999895</v>
      </c>
      <c r="F18" s="19">
        <f>[29]실험기록부!$F$11</f>
        <v>5.4302399999999995</v>
      </c>
      <c r="G18" s="19">
        <f>[29]실험기록부!$G$11</f>
        <v>9.3983999999999984E-2</v>
      </c>
      <c r="H18" s="20">
        <f>[29]실험기록부!$H$11</f>
        <v>7</v>
      </c>
      <c r="I18" s="27">
        <f>[30]커버3!$G$13</f>
        <v>579</v>
      </c>
      <c r="J18" s="96">
        <f>[29]일반사항!$D$28</f>
        <v>17.45</v>
      </c>
    </row>
    <row r="19" spans="1:10" ht="20.100000000000001" customHeight="1">
      <c r="A19" s="25">
        <f>[31]일반사항!$B$4</f>
        <v>44516</v>
      </c>
      <c r="B19" s="16">
        <f>[31]일반사항!$E$28</f>
        <v>6.9</v>
      </c>
      <c r="C19" s="45">
        <f>[31]실험기록부!$C$11</f>
        <v>3.1399999999999997</v>
      </c>
      <c r="D19" s="17">
        <f>[31]실험기록부!$D$11</f>
        <v>3.9213267421519999</v>
      </c>
      <c r="E19" s="18">
        <f>[31]실험기록부!$E$11</f>
        <v>4.5999999999999943</v>
      </c>
      <c r="F19" s="19">
        <f>[31]실험기록부!$F$11</f>
        <v>5.6639999999999997</v>
      </c>
      <c r="G19" s="19">
        <f>[31]실험기록부!$G$11</f>
        <v>8.9328000000000005E-2</v>
      </c>
      <c r="H19" s="20">
        <f>[31]실험기록부!$H$11</f>
        <v>9.5</v>
      </c>
      <c r="I19" s="27">
        <f>[32]커버3!$G$13</f>
        <v>566</v>
      </c>
      <c r="J19" s="96">
        <f>[31]일반사항!$D$28</f>
        <v>17.3</v>
      </c>
    </row>
    <row r="20" spans="1:10" ht="20.100000000000001" customHeight="1">
      <c r="A20" s="25">
        <f>[33]일반사항!$B$4</f>
        <v>44517</v>
      </c>
      <c r="B20" s="16">
        <f>[33]일반사항!$E$28</f>
        <v>6.92</v>
      </c>
      <c r="C20" s="45">
        <f>[33]실험기록부!$C$11</f>
        <v>2.4900000000000002</v>
      </c>
      <c r="D20" s="17">
        <f>[33]실험기록부!$D$11</f>
        <v>5.2953834531439998</v>
      </c>
      <c r="E20" s="18">
        <f>[33]실험기록부!$E$11</f>
        <v>4.1999999999999895</v>
      </c>
      <c r="F20" s="19">
        <f>[33]실험기록부!$F$11</f>
        <v>4.4236800000000001</v>
      </c>
      <c r="G20" s="19">
        <f>[33]실험기록부!$G$11</f>
        <v>0.11337599999999998</v>
      </c>
      <c r="H20" s="20">
        <f>[33]실험기록부!$H$11</f>
        <v>7.5</v>
      </c>
      <c r="I20" s="27">
        <f>[34]커버3!$G$13</f>
        <v>556</v>
      </c>
      <c r="J20" s="96">
        <f>[33]일반사항!$D$28</f>
        <v>17.149999999999999</v>
      </c>
    </row>
    <row r="21" spans="1:10" ht="20.100000000000001" customHeight="1">
      <c r="A21" s="25">
        <f>[35]일반사항!$B$4</f>
        <v>44518</v>
      </c>
      <c r="B21" s="16">
        <f>[35]일반사항!$E$28</f>
        <v>6.95</v>
      </c>
      <c r="C21" s="45">
        <f>[35]실험기록부!$C$11</f>
        <v>2.4599999999999991</v>
      </c>
      <c r="D21" s="17">
        <f>[35]실험기록부!$D$11</f>
        <v>5.1254001558800004</v>
      </c>
      <c r="E21" s="18">
        <f>[35]실험기록부!$E$11</f>
        <v>4.4000000000000057</v>
      </c>
      <c r="F21" s="19">
        <f>[35]실험기록부!$F$11</f>
        <v>5.4043200000000002</v>
      </c>
      <c r="G21" s="19">
        <f>[35]실험기록부!$G$11</f>
        <v>9.6192000000000014E-2</v>
      </c>
      <c r="H21" s="20">
        <f>[35]실험기록부!$H$11</f>
        <v>18</v>
      </c>
      <c r="I21" s="27">
        <f>[36]커버3!$G$13</f>
        <v>537</v>
      </c>
      <c r="J21" s="96">
        <f>[35]일반사항!$D$28</f>
        <v>17.05</v>
      </c>
    </row>
    <row r="22" spans="1:10" ht="20.100000000000001" customHeight="1">
      <c r="A22" s="25">
        <f>[37]일반사항!$B$4</f>
        <v>44519</v>
      </c>
      <c r="B22" s="16">
        <f>[37]일반사항!$E$28</f>
        <v>6.9450000000000003</v>
      </c>
      <c r="C22" s="45">
        <f>[37]실험기록부!$C$11</f>
        <v>2.2199999999999998</v>
      </c>
      <c r="D22" s="17">
        <f>[37]실험기록부!$D$11</f>
        <v>8.7274815570479998</v>
      </c>
      <c r="E22" s="18">
        <f>[37]실험기록부!$E$11</f>
        <v>4.5999999999999943</v>
      </c>
      <c r="F22" s="19">
        <f>[37]실험기록부!$F$11</f>
        <v>6.4579199999999997</v>
      </c>
      <c r="G22" s="19">
        <f>[37]실험기록부!$G$11</f>
        <v>0.137568</v>
      </c>
      <c r="H22" s="20">
        <f>[37]실험기록부!$H$11</f>
        <v>8.5</v>
      </c>
      <c r="I22" s="27">
        <f>[38]커버3!$G$13</f>
        <v>569</v>
      </c>
      <c r="J22" s="96">
        <f>[37]일반사항!$D$28</f>
        <v>17.149999999999999</v>
      </c>
    </row>
    <row r="23" spans="1:10" ht="20.100000000000001" customHeight="1">
      <c r="A23" s="25">
        <f>[39]일반사항!$B$4</f>
        <v>44520</v>
      </c>
      <c r="B23" s="16">
        <f>[39]일반사항!$E$28</f>
        <v>6.93</v>
      </c>
      <c r="C23" s="45">
        <f>[39]실험기록부!$C$11</f>
        <v>2.5500000000000007</v>
      </c>
      <c r="D23" s="17">
        <f>[39]실험기록부!$D$11</f>
        <v>4.237094424276</v>
      </c>
      <c r="E23" s="18">
        <f>[39]실험기록부!$E$11</f>
        <v>4.2</v>
      </c>
      <c r="F23" s="19">
        <f>[39]실험기록부!$F$11</f>
        <v>5.758</v>
      </c>
      <c r="G23" s="19">
        <f>[39]실험기록부!$G$11</f>
        <v>0.151</v>
      </c>
      <c r="H23" s="20">
        <f>[39]실험기록부!$H$11</f>
        <v>9</v>
      </c>
      <c r="I23" s="27">
        <f>[40]커버3!$G$13</f>
        <v>559</v>
      </c>
      <c r="J23" s="96">
        <f>[39]일반사항!$D$28</f>
        <v>16.899999999999999</v>
      </c>
    </row>
    <row r="24" spans="1:10" ht="20.100000000000001" customHeight="1">
      <c r="A24" s="25">
        <f>[41]일반사항!$B$4</f>
        <v>44521</v>
      </c>
      <c r="B24" s="16">
        <f>[41]일반사항!$E$28</f>
        <v>6.91</v>
      </c>
      <c r="C24" s="45">
        <f>[41]실험기록부!$C$11</f>
        <v>2.21</v>
      </c>
      <c r="D24" s="17">
        <f>[41]실험기록부!$D$11</f>
        <v>5.2451552404440003</v>
      </c>
      <c r="E24" s="18">
        <f>[41]실험기록부!$E$11</f>
        <v>4.2</v>
      </c>
      <c r="F24" s="19">
        <f>[41]실험기록부!$F$11</f>
        <v>5.742</v>
      </c>
      <c r="G24" s="19">
        <f>[41]실험기록부!$G$11</f>
        <v>0.14399999999999999</v>
      </c>
      <c r="H24" s="20">
        <f>[41]실험기록부!$H$11</f>
        <v>5</v>
      </c>
      <c r="I24" s="27">
        <f>[42]커버3!$G$13</f>
        <v>550</v>
      </c>
      <c r="J24" s="96">
        <f>[41]일반사항!$D$28</f>
        <v>16.75</v>
      </c>
    </row>
    <row r="25" spans="1:10" ht="20.100000000000001" customHeight="1">
      <c r="A25" s="25">
        <f>[43]일반사항!$B$4</f>
        <v>44522</v>
      </c>
      <c r="B25" s="16">
        <f>[43]일반사항!$E$28</f>
        <v>6.9550000000000001</v>
      </c>
      <c r="C25" s="45">
        <f>[43]실험기록부!$C$11</f>
        <v>2.2300000000000004</v>
      </c>
      <c r="D25" s="17">
        <f>[43]실험기록부!$D$11</f>
        <v>5.3205895463040003</v>
      </c>
      <c r="E25" s="18">
        <f>[43]실험기록부!$E$11</f>
        <v>4.7999999999999829</v>
      </c>
      <c r="F25" s="19">
        <f>[43]실험기록부!$F$11</f>
        <v>7.3584000000000005</v>
      </c>
      <c r="G25" s="19">
        <f>[43]실험기록부!$G$11</f>
        <v>0.13324800000000001</v>
      </c>
      <c r="H25" s="20">
        <f>[43]실험기록부!$H$11</f>
        <v>7</v>
      </c>
      <c r="I25" s="27">
        <f>[44]커버3!$G$13</f>
        <v>530</v>
      </c>
      <c r="J25" s="96">
        <f>[43]일반사항!$D$28</f>
        <v>16.7</v>
      </c>
    </row>
    <row r="26" spans="1:10" ht="20.100000000000001" customHeight="1">
      <c r="A26" s="25">
        <f>[45]일반사항!$B$4</f>
        <v>44523</v>
      </c>
      <c r="B26" s="16">
        <f>[45]일반사항!$E$28</f>
        <v>6.93</v>
      </c>
      <c r="C26" s="45">
        <f>[45]실험기록부!$C$11</f>
        <v>1.8000000000000007</v>
      </c>
      <c r="D26" s="17">
        <f>[45]실험기록부!$D$11</f>
        <v>4.9368555664400002</v>
      </c>
      <c r="E26" s="18">
        <f>[45]실험기록부!$E$11</f>
        <v>4.4000000000000057</v>
      </c>
      <c r="F26" s="19">
        <f>[45]실험기록부!$F$11</f>
        <v>6.3705600000000002</v>
      </c>
      <c r="G26" s="19">
        <f>[45]실험기록부!$G$11</f>
        <v>0.11208</v>
      </c>
      <c r="H26" s="20">
        <f>[45]실험기록부!$H$11</f>
        <v>9.5</v>
      </c>
      <c r="I26" s="27">
        <f>[46]커버3!$G$13</f>
        <v>543</v>
      </c>
      <c r="J26" s="96">
        <f>[45]일반사항!$D$28</f>
        <v>16.55</v>
      </c>
    </row>
    <row r="27" spans="1:10" ht="20.100000000000001" customHeight="1">
      <c r="A27" s="25">
        <f>[47]일반사항!$B$4</f>
        <v>44524</v>
      </c>
      <c r="B27" s="16">
        <f>[47]일반사항!$E$28</f>
        <v>6.9050000000000002</v>
      </c>
      <c r="C27" s="45">
        <f>[47]실험기록부!$C$11</f>
        <v>1.5499999999999998</v>
      </c>
      <c r="D27" s="17">
        <f>[47]실험기록부!$D$11</f>
        <v>1.8612816275999999</v>
      </c>
      <c r="E27" s="18">
        <f>[47]실험기록부!$E$11</f>
        <v>4.6000000000000227</v>
      </c>
      <c r="F27" s="19">
        <f>[47]실험기록부!$F$11</f>
        <v>6.6052800000000005</v>
      </c>
      <c r="G27" s="19">
        <f>[47]실험기록부!$G$11</f>
        <v>0.10795199999999999</v>
      </c>
      <c r="H27" s="20">
        <f>[47]실험기록부!$H$11</f>
        <v>7</v>
      </c>
      <c r="I27" s="27">
        <f>[48]커버3!$G$13</f>
        <v>545</v>
      </c>
      <c r="J27" s="96">
        <f>[47]일반사항!$D$28</f>
        <v>15.149999999999999</v>
      </c>
    </row>
    <row r="28" spans="1:10" ht="20.100000000000001" customHeight="1">
      <c r="A28" s="25">
        <f>[49]일반사항!$B$4</f>
        <v>44525</v>
      </c>
      <c r="B28" s="16">
        <f>[49]일반사항!$E$28</f>
        <v>6.9450000000000003</v>
      </c>
      <c r="C28" s="45">
        <f>[49]실험기록부!$C$11</f>
        <v>1.6499999999999995</v>
      </c>
      <c r="D28" s="17">
        <f>[49]실험기록부!$D$11</f>
        <v>9.7839905194799996</v>
      </c>
      <c r="E28" s="18">
        <f>[49]실험기록부!$E$11</f>
        <v>2.4000000000000052</v>
      </c>
      <c r="F28" s="19">
        <f>[49]실험기록부!$F$11</f>
        <v>7.8619200000000005</v>
      </c>
      <c r="G28" s="19">
        <f>[49]실험기록부!$G$11</f>
        <v>0.13435199999999997</v>
      </c>
      <c r="H28" s="20">
        <f>[49]실험기록부!$H$11</f>
        <v>11</v>
      </c>
      <c r="I28" s="27">
        <f>[50]커버3!$G$13</f>
        <v>509</v>
      </c>
      <c r="J28" s="96">
        <f>[49]일반사항!$D$28</f>
        <v>14.75</v>
      </c>
    </row>
    <row r="29" spans="1:10" ht="20.100000000000001" customHeight="1">
      <c r="A29" s="25">
        <f>[51]일반사항!$B$4</f>
        <v>44526</v>
      </c>
      <c r="B29" s="16">
        <f>[51]일반사항!$E$28</f>
        <v>6.9050000000000002</v>
      </c>
      <c r="C29" s="45">
        <f>[51]실험기록부!$C$11</f>
        <v>1.8400000000000007</v>
      </c>
      <c r="D29" s="17">
        <f>[51]실험기록부!$D$11</f>
        <v>5.1595030965759996</v>
      </c>
      <c r="E29" s="18">
        <f>[51]실험기록부!$E$11</f>
        <v>4.4000000000000057</v>
      </c>
      <c r="F29" s="19">
        <f>[51]실험기록부!$F$11</f>
        <v>6.2328000000000001</v>
      </c>
      <c r="G29" s="19">
        <f>[51]실험기록부!$G$11</f>
        <v>0.12383999999999999</v>
      </c>
      <c r="H29" s="20">
        <f>[51]실험기록부!$H$11</f>
        <v>10</v>
      </c>
      <c r="I29" s="27">
        <f>[52]커버3!$G$13</f>
        <v>560</v>
      </c>
      <c r="J29" s="96">
        <f>[51]일반사항!$D$28</f>
        <v>14.649999999999999</v>
      </c>
    </row>
    <row r="30" spans="1:10" ht="20.100000000000001" customHeight="1">
      <c r="A30" s="25">
        <f>[53]일반사항!$B$4</f>
        <v>44527</v>
      </c>
      <c r="B30" s="16">
        <f>[53]일반사항!$E$28</f>
        <v>6.9450000000000003</v>
      </c>
      <c r="C30" s="45">
        <f>[53]실험기록부!$C$11</f>
        <v>3.0200000000000005</v>
      </c>
      <c r="D30" s="17">
        <f>[53]실험기록부!$D$11</f>
        <v>4.4652856318160001</v>
      </c>
      <c r="E30" s="18">
        <f>[53]실험기록부!$E$11</f>
        <v>4.2</v>
      </c>
      <c r="F30" s="19">
        <f>[53]실험기록부!$F$11</f>
        <v>5.4729999999999999</v>
      </c>
      <c r="G30" s="19">
        <f>[53]실험기록부!$G$11</f>
        <v>0.125</v>
      </c>
      <c r="H30" s="20">
        <f>[53]실험기록부!$H$11</f>
        <v>3</v>
      </c>
      <c r="I30" s="27">
        <f>[54]커버3!$G$13</f>
        <v>519</v>
      </c>
      <c r="J30" s="96">
        <f>[53]일반사항!$D$28</f>
        <v>14.3</v>
      </c>
    </row>
    <row r="31" spans="1:10" ht="20.100000000000001" customHeight="1">
      <c r="A31" s="25">
        <f>[55]일반사항!$B$4</f>
        <v>44528</v>
      </c>
      <c r="B31" s="16">
        <f>[55]일반사항!$E$28</f>
        <v>6.94</v>
      </c>
      <c r="C31" s="45">
        <f>[55]실험기록부!$C$11</f>
        <v>2.9099999999999993</v>
      </c>
      <c r="D31" s="17">
        <f>[55]실험기록부!$D$11</f>
        <v>5.0323301910440001</v>
      </c>
      <c r="E31" s="18">
        <f>[55]실험기록부!$E$11</f>
        <v>4.2</v>
      </c>
      <c r="F31" s="19">
        <f>[55]실험기록부!$F$11</f>
        <v>5.5490000000000004</v>
      </c>
      <c r="G31" s="19">
        <f>[55]실험기록부!$G$11</f>
        <v>0.10224</v>
      </c>
      <c r="H31" s="20">
        <f>[55]실험기록부!$H$11</f>
        <v>17</v>
      </c>
      <c r="I31" s="27">
        <f>[56]커버3!$G$13</f>
        <v>500</v>
      </c>
      <c r="J31" s="96">
        <f>[55]일반사항!$D$28</f>
        <v>14.350000000000001</v>
      </c>
    </row>
    <row r="32" spans="1:10" ht="20.100000000000001" customHeight="1">
      <c r="A32" s="25">
        <f>[57]일반사항!$B$4</f>
        <v>44529</v>
      </c>
      <c r="B32" s="16">
        <f>[57]일반사항!$E$28</f>
        <v>6.93</v>
      </c>
      <c r="C32" s="45">
        <f>[57]실험기록부!$C$11</f>
        <v>2.2200000000000006</v>
      </c>
      <c r="D32" s="17">
        <f>[57]실험기록부!$D$11</f>
        <v>5.3983983114239997</v>
      </c>
      <c r="E32" s="18">
        <f>[57]실험기록부!$E$11</f>
        <v>4.5999999999999943</v>
      </c>
      <c r="F32" s="19">
        <f>[57]실험기록부!$F$11</f>
        <v>7.3742400000000004</v>
      </c>
      <c r="G32" s="19">
        <f>[57]실험기록부!$G$11</f>
        <v>0.10377600000000001</v>
      </c>
      <c r="H32" s="20">
        <f>[57]실험기록부!$H$11</f>
        <v>3.5</v>
      </c>
      <c r="I32" s="27">
        <f>[58]커버3!$G$13</f>
        <v>522</v>
      </c>
      <c r="J32" s="96">
        <f>[57]일반사항!$D$28</f>
        <v>14.149999999999999</v>
      </c>
    </row>
    <row r="33" spans="1:10" ht="20.100000000000001" customHeight="1">
      <c r="A33" s="25">
        <f>[59]일반사항!$B$4</f>
        <v>44530</v>
      </c>
      <c r="B33" s="16">
        <f>[59]일반사항!$E$28</f>
        <v>6.91</v>
      </c>
      <c r="C33" s="45">
        <f>[59]실험기록부!$C$11</f>
        <v>2.2499999999999991</v>
      </c>
      <c r="D33" s="17">
        <f>[59]실험기록부!$D$11</f>
        <v>4.7381360420240002</v>
      </c>
      <c r="E33" s="18">
        <f>[59]실험기록부!$E$11</f>
        <v>4.6000000000000227</v>
      </c>
      <c r="F33" s="19">
        <f>[59]실험기록부!$F$11</f>
        <v>7.4380799999999994</v>
      </c>
      <c r="G33" s="19">
        <f>[59]실험기록부!$G$11</f>
        <v>0.10535999999999998</v>
      </c>
      <c r="H33" s="20">
        <f>[59]실험기록부!$H$11</f>
        <v>8.5</v>
      </c>
      <c r="I33" s="27">
        <f>[60]커버3!$G$13</f>
        <v>658</v>
      </c>
      <c r="J33" s="96">
        <f>[59]일반사항!$D$28</f>
        <v>16.05</v>
      </c>
    </row>
    <row r="34" spans="1:10" ht="20.100000000000001" customHeight="1" thickBot="1">
      <c r="A34" s="28"/>
      <c r="B34" s="29"/>
      <c r="C34" s="46"/>
      <c r="D34" s="30"/>
      <c r="E34" s="31"/>
      <c r="F34" s="32"/>
      <c r="G34" s="32"/>
      <c r="H34" s="33"/>
      <c r="I34" s="34"/>
      <c r="J34" s="96"/>
    </row>
    <row r="35" spans="1:10" ht="20.100000000000001" customHeight="1" thickTop="1">
      <c r="A35" s="15" t="s">
        <v>0</v>
      </c>
      <c r="B35" s="37">
        <f t="shared" ref="B35:I35" si="0">MAX(B4:B33)</f>
        <v>6.9550000000000001</v>
      </c>
      <c r="C35" s="35">
        <f t="shared" si="0"/>
        <v>3.2700000000000005</v>
      </c>
      <c r="D35" s="35">
        <f t="shared" si="0"/>
        <v>9.7839905194799996</v>
      </c>
      <c r="E35" s="35">
        <f t="shared" si="0"/>
        <v>4.8000000000000105</v>
      </c>
      <c r="F35" s="40">
        <f t="shared" si="0"/>
        <v>7.8619200000000005</v>
      </c>
      <c r="G35" s="40">
        <f t="shared" si="0"/>
        <v>0.221856</v>
      </c>
      <c r="H35" s="81">
        <f t="shared" si="0"/>
        <v>18</v>
      </c>
      <c r="I35" s="84">
        <f t="shared" si="0"/>
        <v>658</v>
      </c>
    </row>
    <row r="36" spans="1:10" ht="20.100000000000001" customHeight="1">
      <c r="A36" s="1" t="s">
        <v>1</v>
      </c>
      <c r="B36" s="38">
        <f t="shared" ref="B36:I36" si="1">MIN(B5:B33)</f>
        <v>6.8849999999999998</v>
      </c>
      <c r="C36" s="4">
        <f t="shared" si="1"/>
        <v>1.5499999999999998</v>
      </c>
      <c r="D36" s="4">
        <f t="shared" si="1"/>
        <v>1.798501038058</v>
      </c>
      <c r="E36" s="4">
        <f t="shared" si="1"/>
        <v>2.4000000000000052</v>
      </c>
      <c r="F36" s="41">
        <f t="shared" si="1"/>
        <v>4.4236800000000001</v>
      </c>
      <c r="G36" s="41">
        <f t="shared" si="1"/>
        <v>8.764799999999999E-2</v>
      </c>
      <c r="H36" s="82">
        <f t="shared" si="1"/>
        <v>1.5</v>
      </c>
      <c r="I36" s="85">
        <f t="shared" si="1"/>
        <v>500</v>
      </c>
    </row>
    <row r="37" spans="1:10" ht="20.100000000000001" customHeight="1" thickBot="1">
      <c r="A37" s="2" t="s">
        <v>2</v>
      </c>
      <c r="B37" s="39">
        <f t="shared" ref="B37:I37" si="2">AVERAGE(B4:B33)</f>
        <v>6.9250000000000007</v>
      </c>
      <c r="C37" s="36">
        <f t="shared" si="2"/>
        <v>2.3673333333333333</v>
      </c>
      <c r="D37" s="36">
        <f t="shared" si="2"/>
        <v>4.6842886634464662</v>
      </c>
      <c r="E37" s="36">
        <f t="shared" si="2"/>
        <v>4.1533333333333351</v>
      </c>
      <c r="F37" s="42">
        <f t="shared" si="2"/>
        <v>6.1483920000000012</v>
      </c>
      <c r="G37" s="42">
        <f t="shared" si="2"/>
        <v>0.12483279999999999</v>
      </c>
      <c r="H37" s="83">
        <f t="shared" si="2"/>
        <v>8.5166666666666675</v>
      </c>
      <c r="I37" s="86">
        <f t="shared" si="2"/>
        <v>562.4666666666667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2021-12-07T02:37:57Z</cp:lastPrinted>
  <dcterms:created xsi:type="dcterms:W3CDTF">2012-04-09T23:45:26Z</dcterms:created>
  <dcterms:modified xsi:type="dcterms:W3CDTF">2021-12-07T02:38:00Z</dcterms:modified>
</cp:coreProperties>
</file>